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45NmtZYqiH2/O0WewlV7NwLXyU129cWMmq15Rxq16pA23mTgA9/pXCKpTy7XeYrM0gz9CkLHbxui7p1OrcfIEw==" workbookSaltValue="wfl57SRtSpXU7CskgLPR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11"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AL16" i="11" s="1"/>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U12" i="17"/>
  <c r="T14" i="16"/>
  <c r="AZ12" i="11"/>
  <c r="P16" i="17"/>
  <c r="BJ10" i="11"/>
  <c r="S18" i="17"/>
  <c r="AY20" i="8"/>
  <c r="BG16" i="8"/>
  <c r="K16" i="7" s="1"/>
  <c r="S16" i="17"/>
  <c r="E14" i="17"/>
  <c r="AH14" i="16"/>
  <c r="L19" i="2"/>
  <c r="T14" i="20"/>
  <c r="T20" i="17"/>
  <c r="BF16" i="13"/>
  <c r="BG16" i="13"/>
  <c r="BB20" i="13"/>
  <c r="BE17" i="13"/>
  <c r="BE16" i="13"/>
  <c r="BF17" i="13"/>
  <c r="K22" i="20"/>
  <c r="AC22" i="20"/>
  <c r="U12" i="11"/>
  <c r="U17" i="11"/>
  <c r="G14" i="14"/>
  <c r="U10" i="11"/>
  <c r="W22" i="21"/>
  <c r="AF22" i="20"/>
  <c r="U18" i="11"/>
  <c r="AL22" i="20"/>
  <c r="AE22" i="20"/>
  <c r="AG22" i="20"/>
  <c r="L22" i="20"/>
  <c r="M22" i="20"/>
  <c r="N22" i="20"/>
  <c r="Y22" i="20"/>
  <c r="AA22" i="20"/>
  <c r="AQ22" i="21"/>
  <c r="AQ22" i="20"/>
  <c r="W22" i="20"/>
  <c r="AE21" i="8" l="1"/>
  <c r="BF16" i="8"/>
  <c r="H12" i="2"/>
  <c r="R21" i="8"/>
  <c r="BA14" i="8"/>
  <c r="BG10" i="8"/>
  <c r="K10" i="7" s="1"/>
  <c r="AY14" i="8"/>
  <c r="F13" i="2"/>
  <c r="M20" i="2"/>
  <c r="N20" i="2"/>
  <c r="V9" i="16"/>
  <c r="L9" i="2"/>
  <c r="X19" i="16"/>
  <c r="BE9" i="8"/>
  <c r="I9" i="7" s="1"/>
  <c r="BH12" i="16"/>
  <c r="BH11" i="11"/>
  <c r="BL16" i="11"/>
  <c r="X18" i="17"/>
  <c r="F11" i="16"/>
  <c r="BL11" i="16" s="1"/>
  <c r="U9" i="17"/>
  <c r="U21" i="17" s="1"/>
  <c r="L18" i="2"/>
  <c r="L12" i="2"/>
  <c r="BK10" i="11"/>
  <c r="BM9" i="11"/>
  <c r="BG17" i="11"/>
  <c r="BK17" i="11"/>
  <c r="BL10" i="11"/>
  <c r="BF12" i="11"/>
  <c r="S16" i="16"/>
  <c r="AZ11" i="11"/>
  <c r="AZ17" i="11"/>
  <c r="AA17" i="16"/>
  <c r="X12" i="21"/>
  <c r="BJ19" i="11"/>
  <c r="AP18" i="20"/>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V16" i="11"/>
  <c r="BJ18" i="11"/>
  <c r="BF19" i="11"/>
  <c r="BL18" i="11"/>
  <c r="BF17" i="11"/>
  <c r="S18" i="16"/>
  <c r="V11" i="11"/>
  <c r="Q10" i="21"/>
  <c r="V9" i="11"/>
  <c r="BJ16" i="11"/>
  <c r="BI18" i="11"/>
  <c r="AZ13" i="11"/>
  <c r="R18" i="20"/>
  <c r="R20" i="20" s="1"/>
  <c r="BK18" i="11"/>
  <c r="BU11" i="17"/>
  <c r="BV18" i="16"/>
  <c r="BW18" i="20"/>
  <c r="BU10" i="17"/>
  <c r="BV12" i="16"/>
  <c r="BW12" i="20"/>
  <c r="BV11" i="16"/>
  <c r="BW16" i="20"/>
  <c r="BU9" i="17"/>
  <c r="BU19" i="17"/>
  <c r="BW10" i="20"/>
  <c r="BU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K14" i="11" s="1"/>
  <c r="BF10" i="11"/>
  <c r="BK19" i="11"/>
  <c r="BH19" i="11"/>
  <c r="BF18" i="11"/>
  <c r="V11" i="16"/>
  <c r="Q18" i="20"/>
  <c r="Q20" i="20" s="1"/>
  <c r="BM17" i="11"/>
  <c r="BH16" i="16"/>
  <c r="BG10" i="11"/>
  <c r="BH18" i="16"/>
  <c r="BK13" i="11"/>
  <c r="BL9" i="11"/>
  <c r="Q9" i="11" s="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Y22" i="16"/>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<sst xmlns="http://schemas.openxmlformats.org/spreadsheetml/2006/main" count="2215" uniqueCount="978">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</sst>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l5XuYDaUo/0zZBjGk5A9CnV98wmIIqBUdu58+gQRCrh3IETPf+NLLPBbZjfJg3o2JOE/OCCVTNUnzbw0G3mNQ==" saltValue="2KeKpU5BIMjZD9H5x0Va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NAVARRA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17.304680600529878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136</v>
      </c>
      <c r="D10" s="230">
        <f>IF(ISNUMBER(Datos!I10),Datos!I10," - ")</f>
        <v>136</v>
      </c>
      <c r="E10" s="231">
        <f>IF(ISNUMBER(Datos!J10),Datos!J10," - ")</f>
        <v>84</v>
      </c>
      <c r="F10" s="231">
        <f>IF(ISNUMBER(Datos!K10),Datos!K10," - ")</f>
        <v>65</v>
      </c>
      <c r="G10" s="1193" t="str">
        <f>IF(Datos!E10&lt;&gt;"",Datos!E10,Datos!D10)</f>
        <v>37</v>
      </c>
      <c r="H10" s="232">
        <f>IF(ISNUMBER(Datos!L10),Datos!L10," - ")</f>
        <v>155</v>
      </c>
      <c r="I10" s="1203" t="str">
        <f>IF(ISNUMBER(Datos!AS10/Datos!BM10),Datos!AS10/Datos!BM10," - ")</f>
        <v xml:space="preserve"> - </v>
      </c>
      <c r="J10" s="1204">
        <f>IF(ISNUMBER(Datos!BY10/Datos!CN10),Datos!BY10/Datos!CN10," - ")</f>
        <v>0</v>
      </c>
      <c r="K10" s="235">
        <f t="shared" ref="K10:K13" si="1">IF(ISNUMBER((E10-F10)/C10),(E10-F10)/C10," - ")</f>
        <v>0.13970588235294118</v>
      </c>
      <c r="L10" s="1205">
        <f>IF(ISNUMBER(NºAsuntos!I10/NºAsuntos!G10),(NºAsuntos!I10/NºAsuntos!G10)*11," - ")</f>
        <v>26.23076923076923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24.473544973544971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136</v>
      </c>
      <c r="D14" s="1210">
        <f>SUBTOTAL(9,D9:D13)</f>
        <v>136</v>
      </c>
      <c r="E14" s="1211">
        <f>SUBTOTAL(9,E9:E13)</f>
        <v>84</v>
      </c>
      <c r="F14" s="1212">
        <f>SUBTOTAL(9,F9:F13)</f>
        <v>65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3561</v>
      </c>
      <c r="D16" s="230">
        <f>IF(ISNUMBER(IF(D_I="SI",Datos!I16,Datos!I16+Datos!AC16)),IF(D_I="SI",Datos!I16,Datos!I16+Datos!AC16)," - ")</f>
        <v>3523</v>
      </c>
      <c r="E16" s="231">
        <f>IF(ISNUMBER(IF(D_I="SI",Datos!J16,Datos!J16+Datos!AD16)),IF(D_I="SI",Datos!J16,Datos!J16+Datos!AD16)," - ")</f>
        <v>5791</v>
      </c>
      <c r="F16" s="231">
        <f>IF(ISNUMBER(IF(D_I="SI",Datos!K16,Datos!K16+Datos!AE16)),IF(D_I="SI",Datos!K16,Datos!K16+Datos!AE16)," - ")</f>
        <v>4977</v>
      </c>
      <c r="G16" s="1193" t="str">
        <f>IF(Datos!E16&lt;&gt;"",Datos!E16,Datos!D16)</f>
        <v>03</v>
      </c>
      <c r="H16" s="232">
        <f>IF(ISNUMBER(IF(D_I="SI",Datos!L16,Datos!L16+Datos!AF16)),IF(D_I="SI",Datos!L16,Datos!L16+Datos!AF16)," - ")</f>
        <v>4375</v>
      </c>
      <c r="I16" s="1203" t="str">
        <f>IF(ISNUMBER(Datos!AS16/Datos!BM16),Datos!AS16/Datos!BM16," - ")</f>
        <v xml:space="preserve"> - </v>
      </c>
      <c r="J16" s="1204">
        <f>IF(ISNUMBER(Datos!BY16/Datos!CN16),Datos!BY16/Datos!CN16," - ")</f>
        <v>0</v>
      </c>
      <c r="K16" s="235">
        <f t="shared" ref="K16:K19" si="3">IF(ISNUMBER((E16-F16)/C16),(E16-F16)/C16," - ")</f>
        <v>0.2285874754282505</v>
      </c>
      <c r="L16" s="1205">
        <f>IF(ISNUMBER(NºAsuntos!I16/NºAsuntos!G16),(NºAsuntos!I16/NºAsuntos!G16)*11," - ")</f>
        <v>9.6694796061884674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437</v>
      </c>
      <c r="D18" s="230">
        <f>IF(ISNUMBER(IF(D_I="SI",Datos!I18,Datos!I18+Datos!AC18)),IF(D_I="SI",Datos!I18,Datos!I18+Datos!AC18)," - ")</f>
        <v>437</v>
      </c>
      <c r="E18" s="231">
        <f>IF(ISNUMBER(IF(D_I="SI",Datos!J18,Datos!J18+Datos!AD18)),IF(D_I="SI",Datos!J18,Datos!J18+Datos!AD18)," - ")</f>
        <v>587</v>
      </c>
      <c r="F18" s="231">
        <f>IF(ISNUMBER(IF(D_I="SI",Datos!K18,Datos!K18+Datos!AE18)),IF(D_I="SI",Datos!K18,Datos!K18+Datos!AE18)," - ")</f>
        <v>608</v>
      </c>
      <c r="G18" s="1193" t="str">
        <f>IF(Datos!E18&lt;&gt;"",Datos!E18,Datos!D18)</f>
        <v>37</v>
      </c>
      <c r="H18" s="232">
        <f>IF(ISNUMBER(IF(D_I="SI",Datos!L18,Datos!L18+Datos!AF18)),IF(D_I="SI",Datos!L18,Datos!L18+Datos!AF18)," - ")</f>
        <v>416</v>
      </c>
      <c r="I18" s="1203" t="str">
        <f>IF(ISNUMBER(Datos!AS18/Datos!BM18),Datos!AS18/Datos!BM18," - ")</f>
        <v xml:space="preserve"> - </v>
      </c>
      <c r="J18" s="1204" t="str">
        <f>IF(ISNUMBER((Datos!BY18+Datos!BZ18)/Datos!CN18),(Datos!BY18+Datos!BZ18)/Datos!CN18," - ")</f>
        <v xml:space="preserve"> - </v>
      </c>
      <c r="K18" s="235">
        <f t="shared" si="3"/>
        <v>-4.8054919908466817E-2</v>
      </c>
      <c r="L18" s="1205">
        <f>IF(ISNUMBER(NºAsuntos!I18/NºAsuntos!G18),(NºAsuntos!I18/NºAsuntos!G18)*11," - ")</f>
        <v>7.5263157894736841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3998</v>
      </c>
      <c r="D20" s="1210">
        <f>SUBTOTAL(9,D16:D19)</f>
        <v>3960</v>
      </c>
      <c r="E20" s="1211">
        <f>SUBTOTAL(9,E16:E19)</f>
        <v>6378</v>
      </c>
      <c r="F20" s="1211">
        <f>SUBTOTAL(9,F16:F19)</f>
        <v>5585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4134</v>
      </c>
      <c r="D21" s="1232">
        <f>SUBTOTAL(9,D9:D20)</f>
        <v>4096</v>
      </c>
      <c r="E21" s="1233">
        <f>SUBTOTAL(9,E9:E20)</f>
        <v>6462</v>
      </c>
      <c r="F21" s="1233">
        <f>SUBTOTAL(9,F9:F20)</f>
        <v>5650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r1S4QNNeL1jTP92jHu6DMoXJnAKGzjIg9FT6qO4yuesWRIkPZRQrBJK9QnTDyhFKhV/aeaXo93/V+Eevu34jQ==" saltValue="ceRkeLJtOhxfD1yHHfMcz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09jzuK4EedXrDDhwqrAcykikGzRqJazOsoe/6W950D66EQWhqTEfEpLdLVunGmxTcw4hc2J6JQqallP6EDw3YA==" saltValue="KckafaLSOmSjpleQbfkq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4930</v>
      </c>
      <c r="J9" s="186">
        <v>3194</v>
      </c>
      <c r="K9" s="186">
        <v>3032</v>
      </c>
      <c r="L9" s="186">
        <v>5106</v>
      </c>
      <c r="M9" s="186">
        <v>1153</v>
      </c>
      <c r="N9" s="186">
        <v>1212</v>
      </c>
      <c r="O9" s="186">
        <v>1394</v>
      </c>
      <c r="P9" s="186">
        <v>707</v>
      </c>
      <c r="Q9" s="186">
        <v>878</v>
      </c>
      <c r="R9" s="186">
        <v>9319</v>
      </c>
      <c r="S9" s="186">
        <v>3761</v>
      </c>
      <c r="T9" s="186">
        <v>3115</v>
      </c>
      <c r="U9" s="186">
        <v>3053</v>
      </c>
      <c r="V9" s="186">
        <v>3772</v>
      </c>
      <c r="W9" s="186">
        <v>1060</v>
      </c>
      <c r="X9" s="193">
        <v>1216</v>
      </c>
      <c r="Y9" s="196">
        <v>249</v>
      </c>
      <c r="Z9" s="186">
        <v>354</v>
      </c>
      <c r="AA9" s="186">
        <v>365</v>
      </c>
      <c r="AB9" s="186">
        <v>238</v>
      </c>
      <c r="AC9" s="186">
        <v>0</v>
      </c>
      <c r="AD9" s="186">
        <v>0</v>
      </c>
      <c r="AE9" s="186">
        <v>0</v>
      </c>
      <c r="AF9" s="193">
        <v>0</v>
      </c>
      <c r="AG9" s="196">
        <v>231</v>
      </c>
      <c r="AH9" s="186">
        <v>353</v>
      </c>
      <c r="AI9" s="186">
        <v>381</v>
      </c>
      <c r="AJ9" s="197">
        <v>203</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3992</v>
      </c>
      <c r="AZ9" s="125">
        <f>IF(ISNUMBER(IF(J_V="SI",T9,T9+AH9)),IF(J_V="SI",T9,T9+AH9)," - ")</f>
        <v>3468</v>
      </c>
      <c r="BA9" s="126">
        <f>IF(ISNUMBER(IF(J_V="SI",U9,U9+AI9)),IF(J_V="SI",U9,U9+AI9)," - ")</f>
        <v>3434</v>
      </c>
      <c r="BB9" s="126">
        <f>IF(ISNUMBER(IF(J_V="SI",V9,V9+AJ9)),IF(J_V="SI",V9,V9+AJ9)," - ")</f>
        <v>3975</v>
      </c>
      <c r="BC9" s="127">
        <f>IF(ISNUMBER(X9),X9," - ")</f>
        <v>1216</v>
      </c>
      <c r="BD9" s="128">
        <f>IF(ISNUMBER(BA9/AZ9),BA9/AZ9," - ")</f>
        <v>0.99019607843137258</v>
      </c>
      <c r="BE9" s="129">
        <f>IF(ISNUMBER(BB9/BA9),BB9/BA9, " - ")</f>
        <v>1.1575422248107163</v>
      </c>
      <c r="BF9" s="129">
        <f>IF(ISNUMBER(BC9/BA9),BC9/BA9, " - ")</f>
        <v>0.35410599883517763</v>
      </c>
      <c r="BG9" s="201">
        <f>IF(ISNUMBER((AY9+AZ9)/BA9),(AY9+AZ9)/BA9," - ")</f>
        <v>2.1723937099592314</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136</v>
      </c>
      <c r="J10" s="186">
        <v>84</v>
      </c>
      <c r="K10" s="186">
        <v>65</v>
      </c>
      <c r="L10" s="186">
        <v>155</v>
      </c>
      <c r="M10" s="186">
        <v>32</v>
      </c>
      <c r="N10" s="186">
        <v>23</v>
      </c>
      <c r="O10" s="186">
        <v>34</v>
      </c>
      <c r="P10" s="186">
        <v>32</v>
      </c>
      <c r="Q10" s="186">
        <v>24</v>
      </c>
      <c r="R10" s="186">
        <v>166</v>
      </c>
      <c r="S10" s="186">
        <v>142</v>
      </c>
      <c r="T10" s="186">
        <v>75</v>
      </c>
      <c r="U10" s="186">
        <v>87</v>
      </c>
      <c r="V10" s="186">
        <v>130</v>
      </c>
      <c r="W10" s="186">
        <v>30</v>
      </c>
      <c r="X10" s="193">
        <v>57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142</v>
      </c>
      <c r="AZ10" s="131">
        <f t="shared" si="0"/>
        <v>75</v>
      </c>
      <c r="BA10" s="131">
        <f t="shared" si="0"/>
        <v>87</v>
      </c>
      <c r="BB10" s="131">
        <f t="shared" si="0"/>
        <v>130</v>
      </c>
      <c r="BC10" s="127">
        <f t="shared" si="0"/>
        <v>30</v>
      </c>
      <c r="BD10" s="128">
        <f>IF(ISNUMBER(BA10/AZ10),BA10/AZ10," - ")</f>
        <v>1.1599999999999999</v>
      </c>
      <c r="BE10" s="129">
        <f>IF(ISNUMBER(BB10/BA10),BB10/BA10, " - ")</f>
        <v>1.4942528735632183</v>
      </c>
      <c r="BF10" s="129">
        <f>IF(ISNUMBER(BC10/BA10),BC10/BA10, " - ")</f>
        <v>0.34482758620689657</v>
      </c>
      <c r="BG10" s="201">
        <f>IF(ISNUMBER((AY10+AZ10)/BA10),(AY10+AZ10)/BA10," - ")</f>
        <v>2.4942528735632186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582</v>
      </c>
      <c r="J11" s="188">
        <v>583</v>
      </c>
      <c r="K11" s="188">
        <v>350</v>
      </c>
      <c r="L11" s="188">
        <v>815</v>
      </c>
      <c r="M11" s="188">
        <v>183</v>
      </c>
      <c r="N11" s="188">
        <v>103</v>
      </c>
      <c r="O11" s="186">
        <v>130</v>
      </c>
      <c r="P11" s="188">
        <v>90</v>
      </c>
      <c r="Q11" s="188">
        <v>66</v>
      </c>
      <c r="R11" s="188">
        <v>685</v>
      </c>
      <c r="S11" s="188">
        <v>611</v>
      </c>
      <c r="T11" s="188">
        <v>472</v>
      </c>
      <c r="U11" s="188">
        <v>537</v>
      </c>
      <c r="V11" s="188">
        <v>546</v>
      </c>
      <c r="W11" s="188">
        <v>315</v>
      </c>
      <c r="X11" s="194">
        <v>162</v>
      </c>
      <c r="Y11" s="196">
        <v>13</v>
      </c>
      <c r="Z11" s="186">
        <v>41</v>
      </c>
      <c r="AA11" s="186">
        <v>28</v>
      </c>
      <c r="AB11" s="186">
        <v>26</v>
      </c>
      <c r="AC11" s="188">
        <v>0</v>
      </c>
      <c r="AD11" s="188">
        <v>0</v>
      </c>
      <c r="AE11" s="188">
        <v>0</v>
      </c>
      <c r="AF11" s="194">
        <v>0</v>
      </c>
      <c r="AG11" s="207">
        <v>22</v>
      </c>
      <c r="AH11" s="188">
        <v>33</v>
      </c>
      <c r="AI11" s="188">
        <v>38</v>
      </c>
      <c r="AJ11" s="208">
        <v>17</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633</v>
      </c>
      <c r="AZ11" s="129">
        <f t="shared" si="1"/>
        <v>505</v>
      </c>
      <c r="BA11" s="129">
        <f t="shared" si="1"/>
        <v>575</v>
      </c>
      <c r="BB11" s="129">
        <f t="shared" si="1"/>
        <v>563</v>
      </c>
      <c r="BC11" s="127">
        <f>IF(ISNUMBER(X11),X11," - ")</f>
        <v>162</v>
      </c>
      <c r="BD11" s="128">
        <f t="shared" ref="BD11:BD13" si="2">IF(ISNUMBER(BA11/AZ11),BA11/AZ11," - ")</f>
        <v>1.1386138613861385</v>
      </c>
      <c r="BE11" s="129">
        <f t="shared" ref="BE11:BE13" si="3">IF(ISNUMBER(BB11/BA11),BB11/BA11, " - ")</f>
        <v>0.97913043478260875</v>
      </c>
      <c r="BF11" s="129">
        <f t="shared" ref="BF11:BF13" si="4">IF(ISNUMBER(BC11/BA11),BC11/BA11, " - ")</f>
        <v>0.2817391304347826</v>
      </c>
      <c r="BG11" s="201">
        <f t="shared" ref="BG11:BG13" si="5">IF(ISNUMBER((AY11+AZ11)/BA11),(AY11+AZ11)/BA11," - ")</f>
        <v>1.9791304347826086</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5648</v>
      </c>
      <c r="J14" s="189">
        <f t="shared" si="7"/>
        <v>3861</v>
      </c>
      <c r="K14" s="189">
        <f t="shared" si="7"/>
        <v>3447</v>
      </c>
      <c r="L14" s="189">
        <f t="shared" si="7"/>
        <v>6076</v>
      </c>
      <c r="M14" s="189">
        <f t="shared" si="7"/>
        <v>1368</v>
      </c>
      <c r="N14" s="189">
        <f t="shared" si="7"/>
        <v>1338</v>
      </c>
      <c r="O14" s="189">
        <f t="shared" si="7"/>
        <v>1558</v>
      </c>
      <c r="P14" s="189">
        <f t="shared" si="7"/>
        <v>829</v>
      </c>
      <c r="Q14" s="189">
        <f t="shared" si="7"/>
        <v>968</v>
      </c>
      <c r="R14" s="189">
        <f t="shared" si="7"/>
        <v>10170</v>
      </c>
      <c r="S14" s="189">
        <f t="shared" si="7"/>
        <v>4514</v>
      </c>
      <c r="T14" s="189">
        <f t="shared" si="7"/>
        <v>3662</v>
      </c>
      <c r="U14" s="189">
        <f t="shared" si="7"/>
        <v>3677</v>
      </c>
      <c r="V14" s="189">
        <f t="shared" si="7"/>
        <v>4448</v>
      </c>
      <c r="W14" s="189">
        <f t="shared" si="7"/>
        <v>1405</v>
      </c>
      <c r="X14" s="189">
        <f t="shared" si="7"/>
        <v>1435</v>
      </c>
      <c r="Y14" s="189">
        <f t="shared" si="7"/>
        <v>262</v>
      </c>
      <c r="Z14" s="189">
        <f t="shared" si="7"/>
        <v>395</v>
      </c>
      <c r="AA14" s="189">
        <f t="shared" si="7"/>
        <v>393</v>
      </c>
      <c r="AB14" s="189">
        <f t="shared" si="7"/>
        <v>264</v>
      </c>
      <c r="AC14" s="189">
        <f t="shared" si="7"/>
        <v>0</v>
      </c>
      <c r="AD14" s="189">
        <f t="shared" si="7"/>
        <v>0</v>
      </c>
      <c r="AE14" s="189">
        <f t="shared" si="7"/>
        <v>0</v>
      </c>
      <c r="AF14" s="189">
        <f>SUBTOTAL(9,AF9:AF13)</f>
        <v>0</v>
      </c>
      <c r="AG14" s="189">
        <f t="shared" ref="AG14:AT14" si="8">SUBTOTAL(9,AG8:AG13)</f>
        <v>253</v>
      </c>
      <c r="AH14" s="189">
        <f t="shared" si="8"/>
        <v>386</v>
      </c>
      <c r="AI14" s="189">
        <f t="shared" si="8"/>
        <v>419</v>
      </c>
      <c r="AJ14" s="189">
        <f t="shared" si="8"/>
        <v>220</v>
      </c>
      <c r="AK14" s="189">
        <f t="shared" si="8"/>
        <v>0</v>
      </c>
      <c r="AL14" s="189">
        <f t="shared" si="8"/>
        <v>0</v>
      </c>
      <c r="AM14" s="189">
        <f t="shared" si="8"/>
        <v>0</v>
      </c>
      <c r="AN14" s="189">
        <f t="shared" si="8"/>
        <v>0</v>
      </c>
      <c r="AO14" s="189">
        <f t="shared" si="8"/>
        <v>11</v>
      </c>
      <c r="AP14" s="189">
        <f t="shared" si="8"/>
        <v>11</v>
      </c>
      <c r="AQ14" s="189">
        <f t="shared" si="8"/>
        <v>11</v>
      </c>
      <c r="AR14" s="189">
        <f t="shared" si="8"/>
        <v>11</v>
      </c>
      <c r="AS14" s="189">
        <f t="shared" si="8"/>
        <v>0</v>
      </c>
      <c r="AT14" s="189">
        <f t="shared" si="8"/>
        <v>0</v>
      </c>
      <c r="AU14" s="209"/>
      <c r="AV14" s="134"/>
      <c r="AW14" s="209"/>
      <c r="AX14" s="134"/>
      <c r="AY14" s="189">
        <f>SUBTOTAL(9,AY8:AY13)</f>
        <v>4767</v>
      </c>
      <c r="AZ14" s="189">
        <f>SUBTOTAL(9,AZ8:AZ13)</f>
        <v>4048</v>
      </c>
      <c r="BA14" s="189">
        <f>SUBTOTAL(9,BA8:BA13)</f>
        <v>4096</v>
      </c>
      <c r="BB14" s="189">
        <f>SUBTOTAL(9,BB8:BB13)</f>
        <v>4668</v>
      </c>
      <c r="BC14" s="189">
        <f>SUBTOTAL(9,BC8:BC13)</f>
        <v>1408</v>
      </c>
      <c r="BD14" s="210">
        <f>IF(ISNUMBER(BA14/AZ14),BA14/AZ14," - ")</f>
        <v>1.0118577075098814</v>
      </c>
      <c r="BE14" s="211">
        <f>IF(ISNUMBER(BB14/BA14),BB14/BA14, " - ")</f>
        <v>1.1396484375</v>
      </c>
      <c r="BF14" s="211">
        <f>IF(ISNUMBER(BC14/BA14),BC14/BA14, " - ")</f>
        <v>0.34375</v>
      </c>
      <c r="BG14" s="212">
        <f>IF(ISNUMBER((AY14+AZ14)/BA14),(AY14+AZ14)/BA14," - ")</f>
        <v>2.152099609375</v>
      </c>
      <c r="BH14" s="145">
        <f>SUBTOTAL(9,BH8:BH13)</f>
        <v>11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3523</v>
      </c>
      <c r="J16" s="188">
        <v>5791</v>
      </c>
      <c r="K16" s="188">
        <v>4977</v>
      </c>
      <c r="L16" s="188">
        <v>4375</v>
      </c>
      <c r="M16" s="188">
        <v>333</v>
      </c>
      <c r="N16" s="188">
        <v>3909</v>
      </c>
      <c r="O16" s="186">
        <v>4</v>
      </c>
      <c r="P16" s="188">
        <v>108</v>
      </c>
      <c r="Q16" s="188">
        <v>117</v>
      </c>
      <c r="R16" s="188">
        <v>423</v>
      </c>
      <c r="S16" s="188">
        <v>2603</v>
      </c>
      <c r="T16" s="188">
        <v>4347</v>
      </c>
      <c r="U16" s="188">
        <v>4694</v>
      </c>
      <c r="V16" s="188">
        <v>2282</v>
      </c>
      <c r="W16" s="188">
        <v>545</v>
      </c>
      <c r="X16" s="194">
        <v>3047</v>
      </c>
      <c r="Y16" s="207">
        <v>0</v>
      </c>
      <c r="Z16" s="188">
        <v>0</v>
      </c>
      <c r="AA16" s="188">
        <v>0</v>
      </c>
      <c r="AB16" s="188">
        <v>0</v>
      </c>
      <c r="AC16" s="188">
        <v>0</v>
      </c>
      <c r="AD16" s="188">
        <v>88</v>
      </c>
      <c r="AE16" s="188">
        <v>87</v>
      </c>
      <c r="AF16" s="194">
        <v>1</v>
      </c>
      <c r="AG16" s="207">
        <v>0</v>
      </c>
      <c r="AH16" s="188">
        <v>0</v>
      </c>
      <c r="AI16" s="188">
        <v>0</v>
      </c>
      <c r="AJ16" s="208">
        <v>0</v>
      </c>
      <c r="AK16" s="187">
        <v>0</v>
      </c>
      <c r="AL16" s="188">
        <v>71</v>
      </c>
      <c r="AM16" s="188">
        <v>71</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2603</v>
      </c>
      <c r="AZ16" s="131">
        <f t="shared" si="10"/>
        <v>4347</v>
      </c>
      <c r="BA16" s="131">
        <f t="shared" si="10"/>
        <v>4694</v>
      </c>
      <c r="BB16" s="131">
        <f t="shared" si="10"/>
        <v>2282</v>
      </c>
      <c r="BC16" s="127">
        <f>IF(ISNUMBER(W16),W16," - ")</f>
        <v>545</v>
      </c>
      <c r="BD16" s="128">
        <f>IF(ISNUMBER(BA16/AZ16),BA16/AZ16," - ")</f>
        <v>1.0798251667816885</v>
      </c>
      <c r="BE16" s="129">
        <f>IF(ISNUMBER(BB16/BA16),BB16/BA16, " - ")</f>
        <v>0.48615253515125695</v>
      </c>
      <c r="BF16" s="129">
        <f>IF(ISNUMBER(BC16/BA16),BC16/BA16, " - ")</f>
        <v>0.11610566680869194</v>
      </c>
      <c r="BG16" s="201">
        <f t="shared" ref="BG16:BG19" si="11">IF(ISNUMBER((AY16+AZ16)/BA16),(AY16+AZ16)/BA16," - ")</f>
        <v>1.4806135492117596</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437</v>
      </c>
      <c r="J18" s="188">
        <v>587</v>
      </c>
      <c r="K18" s="188">
        <v>608</v>
      </c>
      <c r="L18" s="188">
        <v>416</v>
      </c>
      <c r="M18" s="188">
        <v>51</v>
      </c>
      <c r="N18" s="188">
        <v>456</v>
      </c>
      <c r="O18" s="188">
        <v>0</v>
      </c>
      <c r="P18" s="188">
        <v>4</v>
      </c>
      <c r="Q18" s="188">
        <v>2</v>
      </c>
      <c r="R18" s="188">
        <v>8</v>
      </c>
      <c r="S18" s="188">
        <v>451</v>
      </c>
      <c r="T18" s="188">
        <v>330</v>
      </c>
      <c r="U18" s="188">
        <v>291</v>
      </c>
      <c r="V18" s="188">
        <v>259</v>
      </c>
      <c r="W18" s="188">
        <v>64</v>
      </c>
      <c r="X18" s="194">
        <v>157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451</v>
      </c>
      <c r="AZ18" s="131">
        <f t="shared" si="15"/>
        <v>330</v>
      </c>
      <c r="BA18" s="131">
        <f t="shared" si="15"/>
        <v>291</v>
      </c>
      <c r="BB18" s="131">
        <f t="shared" si="15"/>
        <v>259</v>
      </c>
      <c r="BC18" s="127">
        <f>IF(ISNUMBER(W18),W18," - ")</f>
        <v>64</v>
      </c>
      <c r="BD18" s="128">
        <f>IF(ISNUMBER(BA18/AZ18),BA18/AZ18," - ")</f>
        <v>0.88181818181818183</v>
      </c>
      <c r="BE18" s="129">
        <f>IF(ISNUMBER(BB18/BA18),BB18/BA18, " - ")</f>
        <v>0.89003436426116833</v>
      </c>
      <c r="BF18" s="129">
        <f>IF(ISNUMBER(BC18/BA18),BC18/BA18, " - ")</f>
        <v>0.21993127147766323</v>
      </c>
      <c r="BG18" s="201">
        <f>IF(ISNUMBER((AY18+AZ18)/BA18),(AY18+AZ18)/BA18," - ")</f>
        <v>2.6838487972508589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3960</v>
      </c>
      <c r="J20" s="189">
        <f t="shared" si="16"/>
        <v>6378</v>
      </c>
      <c r="K20" s="189">
        <f t="shared" si="16"/>
        <v>5585</v>
      </c>
      <c r="L20" s="189">
        <f t="shared" si="16"/>
        <v>4791</v>
      </c>
      <c r="M20" s="189">
        <f t="shared" si="16"/>
        <v>384</v>
      </c>
      <c r="N20" s="189">
        <f t="shared" si="16"/>
        <v>4365</v>
      </c>
      <c r="O20" s="189">
        <f t="shared" si="16"/>
        <v>4</v>
      </c>
      <c r="P20" s="189">
        <f t="shared" si="16"/>
        <v>112</v>
      </c>
      <c r="Q20" s="189">
        <f t="shared" si="16"/>
        <v>119</v>
      </c>
      <c r="R20" s="189">
        <f t="shared" si="16"/>
        <v>431</v>
      </c>
      <c r="S20" s="189">
        <f t="shared" si="16"/>
        <v>3054</v>
      </c>
      <c r="T20" s="189">
        <f t="shared" si="16"/>
        <v>4677</v>
      </c>
      <c r="U20" s="189">
        <f t="shared" si="16"/>
        <v>4985</v>
      </c>
      <c r="V20" s="189">
        <f t="shared" si="16"/>
        <v>2541</v>
      </c>
      <c r="W20" s="189">
        <f t="shared" si="16"/>
        <v>609</v>
      </c>
      <c r="X20" s="189">
        <f t="shared" si="16"/>
        <v>3204</v>
      </c>
      <c r="Y20" s="189">
        <f t="shared" si="16"/>
        <v>0</v>
      </c>
      <c r="Z20" s="189">
        <f t="shared" si="16"/>
        <v>0</v>
      </c>
      <c r="AA20" s="189">
        <f t="shared" si="16"/>
        <v>0</v>
      </c>
      <c r="AB20" s="189">
        <f t="shared" si="16"/>
        <v>0</v>
      </c>
      <c r="AC20" s="189">
        <f t="shared" si="16"/>
        <v>0</v>
      </c>
      <c r="AD20" s="189">
        <f t="shared" si="16"/>
        <v>88</v>
      </c>
      <c r="AE20" s="189">
        <f t="shared" si="16"/>
        <v>87</v>
      </c>
      <c r="AF20" s="189">
        <f t="shared" si="16"/>
        <v>1</v>
      </c>
      <c r="AG20" s="189">
        <f t="shared" si="16"/>
        <v>0</v>
      </c>
      <c r="AH20" s="189">
        <f t="shared" si="16"/>
        <v>0</v>
      </c>
      <c r="AI20" s="189">
        <f t="shared" si="16"/>
        <v>0</v>
      </c>
      <c r="AJ20" s="189">
        <f t="shared" si="16"/>
        <v>0</v>
      </c>
      <c r="AK20" s="189">
        <f t="shared" si="16"/>
        <v>0</v>
      </c>
      <c r="AL20" s="189">
        <f t="shared" si="16"/>
        <v>71</v>
      </c>
      <c r="AM20" s="189">
        <f t="shared" si="16"/>
        <v>71</v>
      </c>
      <c r="AN20" s="189">
        <f t="shared" si="16"/>
        <v>0</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3054</v>
      </c>
      <c r="AZ20" s="189">
        <f>SUBTOTAL(9,AZ15:AZ19)</f>
        <v>4677</v>
      </c>
      <c r="BA20" s="189">
        <f>SUBTOTAL(9,BA15:BA19)</f>
        <v>4985</v>
      </c>
      <c r="BB20" s="189">
        <f>SUBTOTAL(9,BB15:BB19)</f>
        <v>2541</v>
      </c>
      <c r="BC20" s="189">
        <f>SUBTOTAL(9,BC15:BC19)</f>
        <v>609</v>
      </c>
      <c r="BD20" s="210">
        <f>IF(ISNUMBER(BA20/AZ20),BA20/AZ20," - ")</f>
        <v>1.0658541800299337</v>
      </c>
      <c r="BE20" s="211">
        <f>IF(ISNUMBER(BB20/BA20),BB20/BA20, " - ")</f>
        <v>0.50972918756268804</v>
      </c>
      <c r="BF20" s="211">
        <f>IF(ISNUMBER(BC20/BA20),BC20/BA20, " - ")</f>
        <v>0.12216649949849549</v>
      </c>
      <c r="BG20" s="212">
        <f>IF(ISNUMBER((AY20+AZ20)/BA20),(AY20+AZ20)/BA20," - ")</f>
        <v>1.550852557673019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9608</v>
      </c>
      <c r="J21" s="136">
        <f t="shared" si="19"/>
        <v>10239</v>
      </c>
      <c r="K21" s="136">
        <f t="shared" si="19"/>
        <v>9032</v>
      </c>
      <c r="L21" s="136">
        <f t="shared" si="19"/>
        <v>10867</v>
      </c>
      <c r="M21" s="136">
        <f t="shared" si="19"/>
        <v>1752</v>
      </c>
      <c r="N21" s="136">
        <f t="shared" si="19"/>
        <v>5703</v>
      </c>
      <c r="O21" s="136">
        <f t="shared" si="19"/>
        <v>1562</v>
      </c>
      <c r="P21" s="136">
        <f t="shared" si="19"/>
        <v>941</v>
      </c>
      <c r="Q21" s="136">
        <f t="shared" si="19"/>
        <v>1087</v>
      </c>
      <c r="R21" s="136">
        <f t="shared" si="19"/>
        <v>10601</v>
      </c>
      <c r="S21" s="136">
        <f t="shared" si="19"/>
        <v>7568</v>
      </c>
      <c r="T21" s="136">
        <f t="shared" si="19"/>
        <v>8339</v>
      </c>
      <c r="U21" s="136">
        <f t="shared" si="19"/>
        <v>8662</v>
      </c>
      <c r="V21" s="136">
        <f t="shared" si="19"/>
        <v>6989</v>
      </c>
      <c r="W21" s="136">
        <f t="shared" si="19"/>
        <v>2014</v>
      </c>
      <c r="X21" s="136">
        <f t="shared" si="19"/>
        <v>4639</v>
      </c>
      <c r="Y21" s="136">
        <f t="shared" si="19"/>
        <v>262</v>
      </c>
      <c r="Z21" s="136">
        <f t="shared" si="19"/>
        <v>395</v>
      </c>
      <c r="AA21" s="136">
        <f t="shared" si="19"/>
        <v>393</v>
      </c>
      <c r="AB21" s="136">
        <f t="shared" si="19"/>
        <v>264</v>
      </c>
      <c r="AC21" s="136">
        <f t="shared" si="19"/>
        <v>0</v>
      </c>
      <c r="AD21" s="136">
        <f t="shared" si="19"/>
        <v>88</v>
      </c>
      <c r="AE21" s="136">
        <f t="shared" si="19"/>
        <v>87</v>
      </c>
      <c r="AF21" s="136">
        <f t="shared" si="19"/>
        <v>1</v>
      </c>
      <c r="AG21" s="136">
        <f t="shared" si="19"/>
        <v>253</v>
      </c>
      <c r="AH21" s="136">
        <f t="shared" si="19"/>
        <v>386</v>
      </c>
      <c r="AI21" s="136">
        <f t="shared" si="19"/>
        <v>419</v>
      </c>
      <c r="AJ21" s="136">
        <f t="shared" si="19"/>
        <v>220</v>
      </c>
      <c r="AK21" s="136">
        <f t="shared" si="19"/>
        <v>0</v>
      </c>
      <c r="AL21" s="136">
        <f t="shared" si="19"/>
        <v>71</v>
      </c>
      <c r="AM21" s="136">
        <f t="shared" si="19"/>
        <v>71</v>
      </c>
      <c r="AN21" s="215">
        <f t="shared" si="19"/>
        <v>0</v>
      </c>
      <c r="AO21" s="216">
        <v>16</v>
      </c>
      <c r="AP21" s="216">
        <v>16</v>
      </c>
      <c r="AQ21" s="216">
        <v>16</v>
      </c>
      <c r="AR21" s="216">
        <v>16</v>
      </c>
      <c r="AS21" s="158">
        <f t="shared" si="19"/>
        <v>0</v>
      </c>
      <c r="AT21" s="158">
        <f t="shared" si="19"/>
        <v>0</v>
      </c>
      <c r="AU21" s="216"/>
      <c r="AV21" s="217"/>
      <c r="AW21" s="216"/>
      <c r="AX21" s="217"/>
      <c r="AY21" s="135">
        <f>SUBTOTAL(9,AY9:AY20)</f>
        <v>7821</v>
      </c>
      <c r="AZ21" s="136">
        <f>SUBTOTAL(9,AZ9:AZ20)</f>
        <v>8725</v>
      </c>
      <c r="BA21" s="136">
        <f>SUBTOTAL(9,BA9:BA20)</f>
        <v>9081</v>
      </c>
      <c r="BB21" s="136">
        <f>SUBTOTAL(9,BB9:BB20)</f>
        <v>7209</v>
      </c>
      <c r="BC21" s="137">
        <f>SUBTOTAL(9,BC9:BC20)</f>
        <v>2017</v>
      </c>
      <c r="BD21" s="218">
        <f>IF(ISNUMBER(BA21/AZ21),BA21/AZ21," - ")</f>
        <v>1.0408022922636102</v>
      </c>
      <c r="BE21" s="215">
        <f>IF(ISNUMBER(BB21/BA21),BB21/BA21, " - ")</f>
        <v>0.79385530227948464</v>
      </c>
      <c r="BF21" s="215">
        <f>IF(ISNUMBER(BC21/BA21),BC21/BA21, " - ")</f>
        <v>0.22211210219138861</v>
      </c>
      <c r="BG21" s="137">
        <f>IF(ISNUMBER((AY21+AZ21)/BA21),(AY21+AZ21)/BA21," - ")</f>
        <v>1.8220460301728885</v>
      </c>
      <c r="BH21" s="216">
        <f>SUBTOTAL(9,BH9:BH20)</f>
        <v>17</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kQ9VAOMX1IEdra83K8Pin/XvHVO4DlUv6JWLA25kZ0djntW+ZMUtU8Ng+4eUJ6KQq3iDQPUI98mK4x9OjuHOg==" saltValue="QMrgQlkYuWOmP4+xVPYY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VUmYyC8HLq4G+tCr6wcAx+upDSJ1AJI3hRN1J/JqIXTtsG/A4wvHiToPmrxzsnnVjigEQmRiQyREWyekULHtw==" saltValue="KWi6eB7qT/WGWie4QYVe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NAVARRA</v>
      </c>
      <c r="F1" s="532"/>
    </row>
    <row r="2" spans="1:74" ht="16.5" customHeight="1">
      <c r="C2" s="521" t="str">
        <f>Criterios!A10 &amp;"  "&amp;Criterios!B10 &amp; "  " &amp; IF(NOT(ISBLANK(Criterios!A11)),Criterios!A11 &amp;"  "&amp;Criterios!B11,"")</f>
        <v>Provincias  NAVARRA  Resumenes por Partidos Judiciales  PAMPLONA-IRUÑA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354</v>
      </c>
      <c r="O9" s="504"/>
      <c r="P9" s="504"/>
      <c r="Q9" s="502">
        <f>IF(ISNUMBER(Datos!P9),Datos!P9,0)</f>
        <v>707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878</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238</v>
      </c>
      <c r="AI9" s="504" t="str">
        <f>IF(ISNUMBER(Datos!CD9),Datos!CD9,"-")</f>
        <v>-</v>
      </c>
      <c r="AJ9" s="504" t="str">
        <f>IF(ISNUMBER(Datos!EN9),Datos!EN9," - ")</f>
        <v xml:space="preserve"> - </v>
      </c>
      <c r="AK9" s="504"/>
      <c r="AL9" s="505"/>
      <c r="AM9" s="672">
        <f>IF(ISNUMBER(Datos!R9),Datos!R9," - ")</f>
        <v>9319</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1153</v>
      </c>
      <c r="BD9" s="620">
        <f>IF(ISNUMBER(Datos!N9),Datos!N9," - ")</f>
        <v>1212</v>
      </c>
      <c r="BE9" s="620" t="str">
        <f>IF(ISNUMBER(Datos!BW9),Datos!BW9," - ")</f>
        <v xml:space="preserve"> - </v>
      </c>
      <c r="BF9" s="668" t="str">
        <f>IF(ISNUMBER(Datos!BX9),Datos!BX9," - ")</f>
        <v xml:space="preserve"> - </v>
      </c>
      <c r="BG9" s="669">
        <f>IF(ISNUMBER(IF(J_V="SI",Datos!K9/Datos!J9,(Datos!K9+Datos!AA9)/(Datos!J9+Datos!Z9))),IF(J_V="SI",Datos!K9/Datos!J9,(Datos!K9+Datos!AA9)/(Datos!J9+Datos!Z9))," - ")</f>
        <v>0.95744081172491546</v>
      </c>
      <c r="BH9" s="670">
        <f>IF(ISNUMBER(((IF(J_V="SI",Datos!L9/Datos!K9,(Datos!L9+Datos!AB9)/(Datos!K9+Datos!AA9)))*11)/factor_trimestre),((IF(J_V="SI",Datos!L9/Datos!K9,(Datos!L9+Datos!AB9)/(Datos!K9+Datos!AA9)))*11)/factor_trimestre," - ")</f>
        <v>4.7194583455990573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-1.8018967334035827E-2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136</v>
      </c>
      <c r="G10" s="498">
        <f>IF(ISNUMBER(Datos!I10),Datos!I10," - ")</f>
        <v>136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65</v>
      </c>
      <c r="AC10" s="502">
        <f>IF(ISNUMBER(Datos!Q10),Datos!Q10," - ")</f>
        <v>24</v>
      </c>
      <c r="AD10" s="504"/>
      <c r="AE10" s="517"/>
      <c r="AF10" s="506">
        <f>IF(ISNUMBER(Datos!L10),Datos!L10,"-")</f>
        <v>155</v>
      </c>
      <c r="AG10" s="504"/>
      <c r="AH10" s="504"/>
      <c r="AI10" s="504"/>
      <c r="AJ10" s="504"/>
      <c r="AK10" s="504"/>
      <c r="AL10" s="505"/>
      <c r="AM10" s="672">
        <f>IF(ISNUMBER(Datos!R10),Datos!R10," - ")</f>
        <v>166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32</v>
      </c>
      <c r="BD10" s="620">
        <f>IF(ISNUMBER(Datos!N10),Datos!N10," - ")</f>
        <v>23</v>
      </c>
      <c r="BE10" s="620" t="str">
        <f>IF(ISNUMBER(Datos!BW10),Datos!BW10," - ")</f>
        <v xml:space="preserve"> - </v>
      </c>
      <c r="BF10" s="668" t="str">
        <f>IF(ISNUMBER(Datos!BX10),Datos!BX10," - ")</f>
        <v xml:space="preserve"> - </v>
      </c>
      <c r="BG10" s="669">
        <f>IF(ISNUMBER(Datos!K10/Datos!J10),Datos!K10/Datos!J10," - ")</f>
        <v>0.77380952380952384</v>
      </c>
      <c r="BH10" s="670">
        <f>IF(ISNUMBER(((Datos!L10/Datos!K10)*11)/factor_trimestre),((Datos!L10/Datos!K10)*11)/factor_trimestre," - ")</f>
        <v>7.1538461538461542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5.0632911392405063E-2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41</v>
      </c>
      <c r="O11" s="504"/>
      <c r="P11" s="504"/>
      <c r="Q11" s="502">
        <f>IF(ISNUMBER(Datos!P11),Datos!P11,0)</f>
        <v>90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66</v>
      </c>
      <c r="AD11" s="504"/>
      <c r="AE11" s="517"/>
      <c r="AF11" s="506" t="str">
        <f>IF(ISNUMBER(IF(J_V="SI",Datos!L11,Datos!L11+Datos!AB11)-IF(Monitorios="SI",Datos!CD11,0)),
                          IF(J_V="SI",Datos!L11,Datos!L11+Datos!AB11)-IF(Monitorios="SI",Datos!CD11,0),
                          " - ")</f>
        <v xml:space="preserve"> - </v>
      </c>
      <c r="AG11" s="504"/>
      <c r="AH11" s="504">
        <f>IF(ISNUMBER(Datos!AB11),Datos!AB11,"-")</f>
        <v>26</v>
      </c>
      <c r="AI11" s="504"/>
      <c r="AJ11" s="504"/>
      <c r="AK11" s="504"/>
      <c r="AL11" s="505"/>
      <c r="AM11" s="672">
        <f>IF(ISNUMBER(Datos!R11),Datos!R11," - ")</f>
        <v>685</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183</v>
      </c>
      <c r="BD11" s="620">
        <f>IF(ISNUMBER(Datos!N11),Datos!N11," - ")</f>
        <v>103</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0.60576923076923073</v>
      </c>
      <c r="BH11" s="670">
        <f>IF(ISNUMBER(((IF(J_V="SI",Datos!L11/Datos!K11,(Datos!L11+Datos!AB11)/(Datos!K11+Datos!AA11)))*11)/factor_trimestre),((IF(J_V="SI",Datos!L11/Datos!K11,(Datos!L11+Datos!AB11)/(Datos!K11+Datos!AA11)))*11)/factor_trimestre," - ")</f>
        <v>6.674603174603174</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3.6308623298033284E-2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11</v>
      </c>
      <c r="F14" s="1045">
        <f t="shared" si="1"/>
        <v>136</v>
      </c>
      <c r="G14" s="1045">
        <f t="shared" si="1"/>
        <v>136</v>
      </c>
      <c r="H14" s="1046">
        <f t="shared" si="1"/>
        <v>0</v>
      </c>
      <c r="I14" s="1045">
        <f t="shared" si="1"/>
        <v>0</v>
      </c>
      <c r="J14" s="1014">
        <f t="shared" si="1"/>
        <v>0</v>
      </c>
      <c r="K14" s="1014">
        <f t="shared" si="1"/>
        <v>0</v>
      </c>
      <c r="L14" s="1046">
        <f t="shared" si="1"/>
        <v>0</v>
      </c>
      <c r="M14" s="1046">
        <f t="shared" si="1"/>
        <v>0</v>
      </c>
      <c r="N14" s="1046">
        <f t="shared" si="1"/>
        <v>395</v>
      </c>
      <c r="O14" s="1047">
        <f t="shared" si="1"/>
        <v>0</v>
      </c>
      <c r="P14" s="1047">
        <f t="shared" si="1"/>
        <v>0</v>
      </c>
      <c r="Q14" s="1046">
        <f t="shared" si="1"/>
        <v>829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65</v>
      </c>
      <c r="AC14" s="1046">
        <f t="shared" si="2"/>
        <v>968</v>
      </c>
      <c r="AD14" s="1046">
        <f t="shared" si="2"/>
        <v>0</v>
      </c>
      <c r="AE14" s="1046">
        <f t="shared" si="2"/>
        <v>0</v>
      </c>
      <c r="AF14" s="1046">
        <f t="shared" si="2"/>
        <v>155</v>
      </c>
      <c r="AG14" s="1046">
        <f t="shared" si="2"/>
        <v>0</v>
      </c>
      <c r="AH14" s="1046">
        <f t="shared" si="2"/>
        <v>264</v>
      </c>
      <c r="AI14" s="1046">
        <f t="shared" si="2"/>
        <v>0</v>
      </c>
      <c r="AJ14" s="1046">
        <f t="shared" si="2"/>
        <v>0</v>
      </c>
      <c r="AK14" s="1046">
        <f t="shared" si="2"/>
        <v>0</v>
      </c>
      <c r="AL14" s="1046">
        <f t="shared" si="2"/>
        <v>0</v>
      </c>
      <c r="AM14" s="1046">
        <f t="shared" si="2"/>
        <v>10170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1368</v>
      </c>
      <c r="BD14" s="1046">
        <f t="shared" si="2"/>
        <v>1338</v>
      </c>
      <c r="BE14" s="1046">
        <f t="shared" si="2"/>
        <v>0</v>
      </c>
      <c r="BF14" s="1046">
        <f t="shared" si="2"/>
        <v>0</v>
      </c>
      <c r="BG14" s="1046">
        <f>IF(ISNUMBER(Datos!K14/Datos!J14),Datos!K14/Datos!J14," - ")</f>
        <v>0.89277389277389274</v>
      </c>
      <c r="BH14" s="1050">
        <f>IF(ISNUMBER(((Datos!L14/Datos!K14)*11)/factor_trimestre),((Datos!L14/Datos!K14)*11)/factor_trimestre," - ")</f>
        <v>5.2880765883376855</v>
      </c>
      <c r="BI14" s="1046">
        <f>IF(ISNUMBER('Resol  Asuntos'!D14/NºAsuntos!G14),'Resol  Asuntos'!D14/NºAsuntos!G14," - ")</f>
        <v>0.35625000000000001</v>
      </c>
      <c r="BJ14" s="1046" t="str">
        <f>IF(ISNUMBER(Datos!CI14/Datos!CJ14),Datos!CI14/Datos!CJ14," - ")</f>
        <v xml:space="preserve"> - </v>
      </c>
      <c r="BK14" s="1046">
        <f>SUBTOTAL(9,BK8:BK13)</f>
        <v>0</v>
      </c>
      <c r="BL14" s="1046">
        <f>IF(ISNUMBER((I14-AB14+L14)/(F14)),(I14-AB14+L14)/(F14)," - ")</f>
        <v>-0.47794117647058826</v>
      </c>
      <c r="BM14" s="1051">
        <f>SUBTOTAL(9,BM9:BM13)</f>
        <v>6.8922567356402509E-2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3561</v>
      </c>
      <c r="G16" s="651">
        <f>IF(ISNUMBER(IF(D_I="SI",Datos!I16,Datos!I16+Datos!AC16)),IF(D_I="SI",Datos!I16,Datos!I16+Datos!AC16)," - ")</f>
        <v>3523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108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4977</v>
      </c>
      <c r="AC16" s="231">
        <f>IF(ISNUMBER(Datos!Q16),Datos!Q16," - ")</f>
        <v>117</v>
      </c>
      <c r="AD16" s="344"/>
      <c r="AE16" s="516"/>
      <c r="AF16" s="649">
        <f>IF(ISNUMBER(IF(D_I="SI",Datos!L16,Datos!L16+Datos!AF16)),IF(D_I="SI",Datos!L16,Datos!L16+Datos!AF16)," - ")</f>
        <v>4375</v>
      </c>
      <c r="AG16" s="344"/>
      <c r="AH16" s="344"/>
      <c r="AI16" s="344"/>
      <c r="AJ16" s="504"/>
      <c r="AK16" s="344"/>
      <c r="AL16" s="500"/>
      <c r="AM16" s="345">
        <f>IF(ISNUMBER(Datos!R16),Datos!R16," - ")</f>
        <v>423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333</v>
      </c>
      <c r="BD16" s="234">
        <f>IF(ISNUMBER(Datos!N16),Datos!N16," - ")</f>
        <v>3909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0.85943705750302191</v>
      </c>
      <c r="BH16" s="670">
        <f>IF(ISNUMBER(((IF(D_I="SI",Datos!L16/Datos!K16,(Datos!L16+Datos!AF16)/(Datos!K16+Datos!AE16)))*11)/factor_trimestre),((IF(D_I="SI",Datos!L16/Datos!K16,(Datos!L16+Datos!AF16)/(Datos!K16+Datos!AE16)))*11)/factor_trimestre," - ")</f>
        <v>2.6371308016877641</v>
      </c>
      <c r="BI16" s="248">
        <f>IF(ISNUMBER('Resol  Asuntos'!D16/NºAsuntos!G16),'Resol  Asuntos'!D16/NºAsuntos!G16," - ")</f>
        <v>6.6907775768535266E-2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437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608</v>
      </c>
      <c r="AC18" s="502">
        <f>IF(ISNUMBER(Datos!Q18),Datos!Q18," - ")</f>
        <v>2</v>
      </c>
      <c r="AD18" s="504"/>
      <c r="AE18" s="516"/>
      <c r="AF18" s="506">
        <f>IF(ISNUMBER(Datos!L18),Datos!L18,"-")</f>
        <v>416</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51</v>
      </c>
      <c r="BD18" s="620">
        <f>IF(ISNUMBER(Datos!N18),Datos!N18," - ")</f>
        <v>456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1.0357751277683134</v>
      </c>
      <c r="BH18" s="670">
        <f>IF(ISNUMBER(((IF(D_I="SI",Datos!L18/Datos!K18,(Datos!L18+Datos!AF18)/(Datos!K18+Datos!AE18)))*11)/factor_trimestre),((IF(D_I="SI",Datos!L18/Datos!K18,(Datos!L18+Datos!AF18)/(Datos!K18+Datos!AE18)))*11)/factor_trimestre," - ")</f>
        <v>2.0526315789473686</v>
      </c>
      <c r="BI18" s="669">
        <f>IF(ISNUMBER('Resol  Asuntos'!D18/NºAsuntos!G18),'Resol  Asuntos'!D18/NºAsuntos!G18," - ")</f>
        <v>8.3881578947368418E-2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3561</v>
      </c>
      <c r="G20" s="1045">
        <f>SUBTOTAL(9,G16:G19)</f>
        <v>3960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5585</v>
      </c>
      <c r="AC20" s="1046">
        <f t="shared" si="5"/>
        <v>119</v>
      </c>
      <c r="AD20" s="1046">
        <f t="shared" si="5"/>
        <v>0</v>
      </c>
      <c r="AE20" s="1046">
        <f t="shared" si="5"/>
        <v>0</v>
      </c>
      <c r="AF20" s="1046">
        <f t="shared" si="5"/>
        <v>4791</v>
      </c>
      <c r="AG20" s="1046">
        <f t="shared" si="5"/>
        <v>0</v>
      </c>
      <c r="AH20" s="1046">
        <f t="shared" si="5"/>
        <v>0</v>
      </c>
      <c r="AI20" s="1046">
        <f t="shared" si="5"/>
        <v>0</v>
      </c>
      <c r="AJ20" s="1046">
        <f t="shared" si="5"/>
        <v>0</v>
      </c>
      <c r="AK20" s="1046">
        <f t="shared" si="5"/>
        <v>0</v>
      </c>
      <c r="AL20" s="1046">
        <f t="shared" si="5"/>
        <v>0</v>
      </c>
      <c r="AM20" s="1046">
        <f t="shared" si="5"/>
        <v>431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384</v>
      </c>
      <c r="BD20" s="1046">
        <f t="shared" si="5"/>
        <v>4365</v>
      </c>
      <c r="BE20" s="1046">
        <f t="shared" si="5"/>
        <v>0</v>
      </c>
      <c r="BF20" s="1046">
        <f t="shared" si="5"/>
        <v>0</v>
      </c>
      <c r="BG20" s="1046">
        <f>IF(ISNUMBER(Datos!K20/Datos!J20),Datos!K20/Datos!J20," - ")</f>
        <v>0.87566635308874252</v>
      </c>
      <c r="BH20" s="1050">
        <f>IF(ISNUMBER(((Datos!L20/Datos!K20)*11)/factor_trimestre),((Datos!L20/Datos!K20)*11)/factor_trimestre," - ")</f>
        <v>2.5735004476275738</v>
      </c>
      <c r="BI20" s="1046">
        <f>SUBTOTAL(9,BI16:BI19)</f>
        <v>0.15078935471590368</v>
      </c>
      <c r="BJ20" s="1046">
        <f>SUBTOTAL(9,BJ16:BJ19)</f>
        <v>0</v>
      </c>
      <c r="BK20" s="1046">
        <f>SUBTOTAL(9,BK16:BK19)</f>
        <v>0</v>
      </c>
      <c r="BL20" s="1046">
        <f>IF(ISNUMBER((I20-AB20+L20)/(F20)),(I20-AB20+L20)/(F20)," - ")</f>
        <v>-1.5683796686324065</v>
      </c>
      <c r="BM20" s="1052">
        <f>IF(ISNUMBER((Datos!P20-Datos!Q20)/(Datos!R20-Datos!P20+Datos!Q20)),(Datos!P20-Datos!Q20)/(Datos!R20-Datos!P20+Datos!Q20)," - ")</f>
        <v>-1.5981735159817351E-2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17</v>
      </c>
      <c r="F21" s="967">
        <f t="shared" si="7"/>
        <v>3697</v>
      </c>
      <c r="G21" s="967">
        <f t="shared" si="7"/>
        <v>4096</v>
      </c>
      <c r="H21" s="969">
        <f t="shared" si="7"/>
        <v>0</v>
      </c>
      <c r="I21" s="967">
        <f t="shared" si="7"/>
        <v>0</v>
      </c>
      <c r="J21" s="969">
        <f t="shared" si="7"/>
        <v>0</v>
      </c>
      <c r="K21" s="969">
        <f t="shared" si="7"/>
        <v>0</v>
      </c>
      <c r="L21" s="1028">
        <f t="shared" si="7"/>
        <v>0</v>
      </c>
      <c r="M21" s="1028">
        <f t="shared" si="7"/>
        <v>0</v>
      </c>
      <c r="N21" s="1028">
        <f t="shared" si="7"/>
        <v>395</v>
      </c>
      <c r="O21" s="1028">
        <f t="shared" si="7"/>
        <v>0</v>
      </c>
      <c r="P21" s="1028">
        <f t="shared" si="7"/>
        <v>0</v>
      </c>
      <c r="Q21" s="969">
        <f t="shared" si="7"/>
        <v>941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5650</v>
      </c>
      <c r="AC21" s="968">
        <f t="shared" si="8"/>
        <v>1087</v>
      </c>
      <c r="AD21" s="968">
        <f t="shared" si="8"/>
        <v>0</v>
      </c>
      <c r="AE21" s="968">
        <f t="shared" si="8"/>
        <v>0</v>
      </c>
      <c r="AF21" s="975">
        <f t="shared" si="8"/>
        <v>4946</v>
      </c>
      <c r="AG21" s="975">
        <f t="shared" si="8"/>
        <v>0</v>
      </c>
      <c r="AH21" s="975">
        <f t="shared" si="8"/>
        <v>264</v>
      </c>
      <c r="AI21" s="975">
        <f t="shared" si="8"/>
        <v>0</v>
      </c>
      <c r="AJ21" s="968">
        <f t="shared" si="8"/>
        <v>0</v>
      </c>
      <c r="AK21" s="975">
        <f t="shared" si="8"/>
        <v>0</v>
      </c>
      <c r="AL21" s="975">
        <f t="shared" si="8"/>
        <v>0</v>
      </c>
      <c r="AM21" s="975">
        <f t="shared" si="8"/>
        <v>10601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1752</v>
      </c>
      <c r="BD21" s="967">
        <f t="shared" si="8"/>
        <v>5703</v>
      </c>
      <c r="BE21" s="967">
        <f t="shared" si="8"/>
        <v>0</v>
      </c>
      <c r="BF21" s="977">
        <f t="shared" si="8"/>
        <v>0</v>
      </c>
      <c r="BG21" s="1062">
        <f>IF(ISNUMBER(Datos!K21/Datos!J21),Datos!K21/Datos!J21," - ")</f>
        <v>0.88211739427678482</v>
      </c>
      <c r="BH21" s="1062">
        <f>IF(ISNUMBER(((Datos!L21/Datos!K21)*11)/factor_trimestre),((Datos!L21/Datos!K21)*11)/factor_trimestre," - ")</f>
        <v>3.6094995571302042</v>
      </c>
      <c r="BI21" s="960">
        <f>IF(ISNUMBER(Datos!J21/Datos!I21),Datos!J21/Datos!I21," - ")</f>
        <v>1.0656744379683598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-1.5282661617527724</v>
      </c>
      <c r="BM21" s="1036">
        <f>IF(ISNUMBER((Datos!P21-Datos!Q21+R21)/(Datos!R21-Datos!P21+Datos!Q21-R21)),(Datos!P21-Datos!Q21+R21)/(Datos!R21-Datos!P21+Datos!Q21-R21)," - ")</f>
        <v>-1.3585186563692193E-2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1638.4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3.832872172524032</v>
      </c>
      <c r="F23" s="600">
        <f>IF(ISNUMBER(STDEV(F8:F20)),STDEV(F8:F20),"-")</f>
        <v>1977.4246719744683</v>
      </c>
      <c r="G23" s="601">
        <f>IF(ISNUMBER(STDEV(G8:G20)),STDEV(G8:G20),"-")</f>
        <v>1929.9816838509116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2775.0165765270663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538.87068861427144</v>
      </c>
      <c r="BD23" s="600"/>
      <c r="BE23" s="600">
        <f>IF(ISNUMBER(STDEV(BE8:BE20)),STDEV(BE8:BE20),"-")</f>
        <v>0</v>
      </c>
      <c r="BF23" s="605">
        <f>IF(ISNUMBER(STDEV(BF8:BF20)),STDEV(BF8:BF20),"-")</f>
        <v>0</v>
      </c>
      <c r="BG23" s="915">
        <f>IF(ISNUMBER(STDEV(BG8:BG20)),STDEV(BG8:BG20),"-")</f>
        <v>0.13767122776673668</v>
      </c>
      <c r="BH23" s="919">
        <f>IF(ISNUMBER(STDEV(BH8:BH20)),STDEV(BH8:BH20),"-")</f>
        <v>2.0651624691079644</v>
      </c>
      <c r="BI23" s="254">
        <f>IF(ISNUMBER(STDEV(BI8:BI20)),STDEV(BI8:BI20),"-")</f>
        <v>0.13289044234814315</v>
      </c>
      <c r="BJ23" s="235" t="str">
        <f>IF(ISNUMBER(BL23/BM23),BL23/BM23," - ")</f>
        <v xml:space="preserve"> - </v>
      </c>
      <c r="BK23" s="627"/>
      <c r="BL23" s="608">
        <f>IF(ISNUMBER(STDEV(BL8:BL20)),STDEV(BL8:BL20),"-")</f>
        <v>0.77105645227445541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4iUprWpcKJrRXl2JOU7qbEhhMPKdqPhMPS21jiWVZP4t5AOn9XtUfFPmnDf+vsd6CHYtm1TJzCyNlTR0+0Ncg==" saltValue="8768C//Dd8xuM4indZKV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NAVARRA</v>
      </c>
    </row>
    <row r="2" spans="1:73" ht="16.5" customHeight="1">
      <c r="C2" s="575" t="str">
        <f>Criterios!A10 &amp;"  "&amp;Criterios!B10 &amp; "  " &amp; IF(NOT(ISBLANK(Criterios!A11)),Criterios!A11 &amp;"  "&amp;Criterios!B11,"")</f>
        <v>Provincias  NAVARRA  Resumenes por Partidos Judiciales  PAMPLONA-IRUÑA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707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878</v>
      </c>
      <c r="AA9" s="506" t="str">
        <f>IF(ISNUMBER(IF(J_V="SI",Datos!L9,Datos!L9+Datos!AB9)-IF(Monitorios="SI",Datos!CD9,0)),
                          IF(J_V="SI",Datos!L9,Datos!L9+Datos!AB9)-IF(Monitorios="SI",Datos!CD9,0),
                          " - ")</f>
        <v xml:space="preserve"> - </v>
      </c>
      <c r="AB9" s="504"/>
      <c r="AC9" s="504"/>
      <c r="AD9" s="517"/>
      <c r="AE9" s="517">
        <f>IF(ISNUMBER(Datos!R9),Datos!R9," - ")</f>
        <v>9319</v>
      </c>
      <c r="AF9" s="620" t="str">
        <f>IF(ISNUMBER(Datos!BV9),Datos!BV9," - ")</f>
        <v xml:space="preserve"> - </v>
      </c>
      <c r="AG9" s="507" t="str">
        <f>IF(ISNUMBER(Datos!DV9),Datos!DV9," - ")</f>
        <v xml:space="preserve"> - </v>
      </c>
      <c r="AH9" s="508"/>
      <c r="AI9" s="509"/>
      <c r="AJ9" s="507">
        <f>IF(ISNUMBER(Datos!M9),Datos!M9," - ")</f>
        <v>1153</v>
      </c>
      <c r="AK9" s="620">
        <f>IF(ISNUMBER(Datos!N9),Datos!N9," - ")</f>
        <v>1212</v>
      </c>
      <c r="AL9" s="620" t="str">
        <f>IF(ISNUMBER(Datos!BW9),Datos!BW9," - ")</f>
        <v xml:space="preserve"> - </v>
      </c>
      <c r="AM9" s="668" t="str">
        <f>IF(ISNUMBER(Datos!BX9),Datos!BX9," - ")</f>
        <v xml:space="preserve"> - </v>
      </c>
      <c r="AN9" s="669"/>
      <c r="AO9" s="670">
        <f>IF(ISNUMBER(((NºAsuntos!I9/NºAsuntos!G9)*11)/factor_trimestre),((NºAsuntos!I9/NºAsuntos!G9)*11)/factor_trimestre," - ")</f>
        <v>4.7194583455990573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-1.8018967334035827E-2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136</v>
      </c>
      <c r="G10" s="507">
        <f>IF(ISNUMBER(Datos!I10),Datos!I10," - ")</f>
        <v>136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65</v>
      </c>
      <c r="Z10" s="704">
        <f>IF(ISNUMBER(Datos!Q10),Datos!Q10," - ")</f>
        <v>24</v>
      </c>
      <c r="AA10" s="506">
        <f>IF(ISNUMBER(Datos!L10),Datos!L10,"-")</f>
        <v>155</v>
      </c>
      <c r="AB10" s="504"/>
      <c r="AC10" s="504"/>
      <c r="AD10" s="517"/>
      <c r="AE10" s="517">
        <f>IF(ISNUMBER(Datos!R10),Datos!R10," - ")</f>
        <v>166</v>
      </c>
      <c r="AF10" s="620" t="str">
        <f>IF(ISNUMBER(Datos!BV10),Datos!BV10," - ")</f>
        <v xml:space="preserve"> - </v>
      </c>
      <c r="AG10" s="507" t="str">
        <f>IF(ISNUMBER(Datos!DV10),Datos!DV10," - ")</f>
        <v xml:space="preserve"> - </v>
      </c>
      <c r="AH10" s="508"/>
      <c r="AI10" s="509"/>
      <c r="AJ10" s="507">
        <f>IF(ISNUMBER(Datos!M10),Datos!M10," - ")</f>
        <v>32</v>
      </c>
      <c r="AK10" s="620">
        <f>IF(ISNUMBER(Datos!N10),Datos!N10," - ")</f>
        <v>23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7.1538461538461542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5.0632911392405063E-2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90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66</v>
      </c>
      <c r="AA11" s="506" t="str">
        <f>IF(ISNUMBER(IF(J_V="SI",Datos!L11,Datos!L11+Datos!AB11)-IF(Monitorios="SI",Datos!CD11,0)),
                          IF(J_V="SI",Datos!L11,Datos!L11+Datos!AB11)-IF(Monitorios="SI",Datos!CD11,0),
                          " - ")</f>
        <v xml:space="preserve"> - </v>
      </c>
      <c r="AB11" s="504"/>
      <c r="AC11" s="504"/>
      <c r="AD11" s="517"/>
      <c r="AE11" s="517">
        <f>IF(ISNUMBER(Datos!R11),Datos!R11," - ")</f>
        <v>685</v>
      </c>
      <c r="AF11" s="620" t="str">
        <f>IF(ISNUMBER(Datos!BV11),Datos!BV11," - ")</f>
        <v xml:space="preserve"> - </v>
      </c>
      <c r="AG11" s="507" t="str">
        <f>IF(ISNUMBER(Datos!DV11),Datos!DV11," - ")</f>
        <v xml:space="preserve"> - </v>
      </c>
      <c r="AH11" s="508"/>
      <c r="AI11" s="509"/>
      <c r="AJ11" s="507">
        <f>IF(ISNUMBER(Datos!M11),Datos!M11," - ")</f>
        <v>183</v>
      </c>
      <c r="AK11" s="620">
        <f>IF(ISNUMBER(Datos!N11),Datos!N11," - ")</f>
        <v>103</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6.674603174603174</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3.6308623298033284E-2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11</v>
      </c>
      <c r="F14" s="1045">
        <f>SUBTOTAL(9,F8:F13)</f>
        <v>136</v>
      </c>
      <c r="G14" s="1045">
        <f>SUBTOTAL(9,G8:G13)</f>
        <v>136</v>
      </c>
      <c r="H14" s="1055"/>
      <c r="I14" s="1045">
        <f t="shared" ref="I14:N14" si="1">SUBTOTAL(9,I8:I13)</f>
        <v>0</v>
      </c>
      <c r="J14" s="1014">
        <f t="shared" si="1"/>
        <v>0</v>
      </c>
      <c r="K14" s="1055">
        <f t="shared" si="1"/>
        <v>0</v>
      </c>
      <c r="L14" s="1055">
        <f t="shared" si="1"/>
        <v>0</v>
      </c>
      <c r="M14" s="1055">
        <f t="shared" si="1"/>
        <v>0</v>
      </c>
      <c r="N14" s="1055">
        <f t="shared" si="1"/>
        <v>829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65</v>
      </c>
      <c r="Z14" s="1054">
        <f t="shared" si="3"/>
        <v>968</v>
      </c>
      <c r="AA14" s="1047">
        <f t="shared" si="3"/>
        <v>155</v>
      </c>
      <c r="AB14" s="1047">
        <f t="shared" si="3"/>
        <v>0</v>
      </c>
      <c r="AC14" s="1047">
        <f t="shared" si="3"/>
        <v>0</v>
      </c>
      <c r="AD14" s="1047">
        <f t="shared" si="3"/>
        <v>0</v>
      </c>
      <c r="AE14" s="1047">
        <f t="shared" si="3"/>
        <v>10170</v>
      </c>
      <c r="AF14" s="1055">
        <f t="shared" si="3"/>
        <v>0</v>
      </c>
      <c r="AG14" s="1055">
        <f t="shared" si="3"/>
        <v>0</v>
      </c>
      <c r="AH14" s="1055">
        <f t="shared" si="3"/>
        <v>0</v>
      </c>
      <c r="AI14" s="1055">
        <f t="shared" si="3"/>
        <v>0</v>
      </c>
      <c r="AJ14" s="1055">
        <f t="shared" si="3"/>
        <v>1368</v>
      </c>
      <c r="AK14" s="1055">
        <f t="shared" si="3"/>
        <v>1338</v>
      </c>
      <c r="AL14" s="1055">
        <f t="shared" si="3"/>
        <v>0</v>
      </c>
      <c r="AM14" s="1055">
        <f t="shared" si="3"/>
        <v>0</v>
      </c>
      <c r="AN14" s="1055">
        <f t="shared" si="3"/>
        <v>0</v>
      </c>
      <c r="AO14" s="1051">
        <f>IF(ISNUMBER(((NºAsuntos!I14/NºAsuntos!G14)*11)/factor_trimestre),((NºAsuntos!I14/NºAsuntos!G14)*11)/factor_trimestre," - ")</f>
        <v>4.9531250000000009</v>
      </c>
      <c r="AP14" s="1057" t="str">
        <f>IF(ISNUMBER(Datos!CI14/Datos!CJ14),Datos!CI14/Datos!CJ14," - ")</f>
        <v xml:space="preserve"> - </v>
      </c>
      <c r="AQ14" s="1075">
        <f t="shared" ref="AQ14:AV14" si="4">SUBTOTAL(9,AQ9:AQ13)</f>
        <v>0</v>
      </c>
      <c r="AR14" s="1075">
        <f t="shared" si="4"/>
        <v>6.8922567356402509E-2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3561</v>
      </c>
      <c r="G16" s="507">
        <f>IF(ISNUMBER(IF(D_I="SI",Datos!I16,Datos!I16+Datos!AC16)),IF(D_I="SI",Datos!I16,Datos!I16+Datos!AC16)," - ")</f>
        <v>3523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108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4977</v>
      </c>
      <c r="Z16" s="704">
        <f>IF(ISNUMBER(Datos!Q16),Datos!Q16," - ")</f>
        <v>117</v>
      </c>
      <c r="AA16" s="506">
        <f>IF(ISNUMBER(IF(D_I="SI",Datos!L16,Datos!L16+Datos!AF16)),IF(D_I="SI",Datos!L16,Datos!L16+Datos!AF16)," - ")</f>
        <v>4375</v>
      </c>
      <c r="AB16" s="504"/>
      <c r="AC16" s="504"/>
      <c r="AD16" s="517"/>
      <c r="AE16" s="517">
        <f>IF(ISNUMBER(Datos!R16),Datos!R16," - ")</f>
        <v>423</v>
      </c>
      <c r="AF16" s="620" t="str">
        <f>IF(ISNUMBER(Datos!BV16),Datos!BV16," - ")</f>
        <v xml:space="preserve"> - </v>
      </c>
      <c r="AG16" s="507"/>
      <c r="AH16" s="508"/>
      <c r="AI16" s="509"/>
      <c r="AJ16" s="507">
        <f>IF(ISNUMBER(Datos!M16),Datos!M16," - ")</f>
        <v>333</v>
      </c>
      <c r="AK16" s="620">
        <f>IF(ISNUMBER(Datos!N16),Datos!N16," - ")</f>
        <v>3909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2.6371308016877641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437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608</v>
      </c>
      <c r="Z18" s="704">
        <f>IF(ISNUMBER(Datos!Q18),Datos!Q18," - ")</f>
        <v>2</v>
      </c>
      <c r="AA18" s="506">
        <f>IF(ISNUMBER(Datos!L18),Datos!L18,"-")</f>
        <v>416</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51</v>
      </c>
      <c r="AK18" s="620">
        <f>IF(ISNUMBER(Datos!N18),Datos!N18," - ")</f>
        <v>456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2.0526315789473686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3561</v>
      </c>
      <c r="G20" s="1045">
        <f>SUBTOTAL(9,G16:G19)</f>
        <v>3960</v>
      </c>
      <c r="H20" s="1079">
        <f>SUBTOTAL(9,H16:H19)</f>
        <v>0</v>
      </c>
      <c r="I20" s="1058">
        <f>SUBTOTAL(9,I16:I19)</f>
        <v>0</v>
      </c>
      <c r="J20" s="1014">
        <f>SUBTOTAL(9,J15:J19)</f>
        <v>0</v>
      </c>
      <c r="K20" s="1079">
        <f t="shared" ref="K20:S20" si="5">SUBTOTAL(9,K16:K19)</f>
        <v>0</v>
      </c>
      <c r="L20" s="1079">
        <f t="shared" si="5"/>
        <v>0</v>
      </c>
      <c r="M20" s="1079">
        <f t="shared" si="5"/>
        <v>0</v>
      </c>
      <c r="N20" s="1079">
        <f t="shared" si="5"/>
        <v>112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5585</v>
      </c>
      <c r="Z20" s="1079">
        <f t="shared" si="6"/>
        <v>119</v>
      </c>
      <c r="AA20" s="1079">
        <f t="shared" si="6"/>
        <v>4791</v>
      </c>
      <c r="AB20" s="1079">
        <f t="shared" si="6"/>
        <v>0</v>
      </c>
      <c r="AC20" s="1079">
        <f t="shared" si="6"/>
        <v>0</v>
      </c>
      <c r="AD20" s="1079">
        <f t="shared" si="6"/>
        <v>0</v>
      </c>
      <c r="AE20" s="1079">
        <f t="shared" si="6"/>
        <v>431</v>
      </c>
      <c r="AF20" s="1079">
        <f t="shared" si="6"/>
        <v>0</v>
      </c>
      <c r="AG20" s="1079">
        <f t="shared" si="6"/>
        <v>0</v>
      </c>
      <c r="AH20" s="1079">
        <f t="shared" si="6"/>
        <v>0</v>
      </c>
      <c r="AI20" s="1079">
        <f t="shared" si="6"/>
        <v>0</v>
      </c>
      <c r="AJ20" s="1079">
        <f t="shared" si="6"/>
        <v>384</v>
      </c>
      <c r="AK20" s="1079">
        <f t="shared" si="6"/>
        <v>4365</v>
      </c>
      <c r="AL20" s="1079">
        <f t="shared" si="6"/>
        <v>0</v>
      </c>
      <c r="AM20" s="1079">
        <f t="shared" si="6"/>
        <v>0</v>
      </c>
      <c r="AN20" s="1079">
        <f t="shared" si="6"/>
        <v>0</v>
      </c>
      <c r="AO20" s="1081">
        <f>IF(ISNUMBER(((NºAsuntos!I20/NºAsuntos!G20)*11)/factor_trimestre),((NºAsuntos!I20/NºAsuntos!G20)*11)/factor_trimestre," - ")</f>
        <v>2.5735004476275738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17</v>
      </c>
      <c r="F21" s="967">
        <f t="shared" si="8"/>
        <v>3697</v>
      </c>
      <c r="G21" s="967">
        <f t="shared" si="8"/>
        <v>4096</v>
      </c>
      <c r="H21" s="968">
        <f t="shared" si="8"/>
        <v>0</v>
      </c>
      <c r="I21" s="967">
        <f t="shared" si="8"/>
        <v>0</v>
      </c>
      <c r="J21" s="969">
        <f t="shared" si="8"/>
        <v>0</v>
      </c>
      <c r="K21" s="967">
        <f t="shared" si="8"/>
        <v>0</v>
      </c>
      <c r="L21" s="970">
        <f t="shared" si="8"/>
        <v>0</v>
      </c>
      <c r="M21" s="967">
        <f t="shared" si="8"/>
        <v>0</v>
      </c>
      <c r="N21" s="968">
        <f t="shared" si="8"/>
        <v>941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5650</v>
      </c>
      <c r="Z21" s="974">
        <f t="shared" si="9"/>
        <v>1087</v>
      </c>
      <c r="AA21" s="975">
        <f t="shared" si="9"/>
        <v>4946</v>
      </c>
      <c r="AB21" s="975">
        <f t="shared" si="9"/>
        <v>0</v>
      </c>
      <c r="AC21" s="975">
        <f t="shared" si="9"/>
        <v>0</v>
      </c>
      <c r="AD21" s="976">
        <f t="shared" si="9"/>
        <v>0</v>
      </c>
      <c r="AE21" s="976">
        <f t="shared" si="9"/>
        <v>10601</v>
      </c>
      <c r="AF21" s="977">
        <f t="shared" si="9"/>
        <v>0</v>
      </c>
      <c r="AG21" s="978">
        <f t="shared" si="9"/>
        <v>0</v>
      </c>
      <c r="AH21" s="979">
        <f t="shared" si="9"/>
        <v>0</v>
      </c>
      <c r="AI21" s="977">
        <f t="shared" si="9"/>
        <v>0</v>
      </c>
      <c r="AJ21" s="967">
        <f t="shared" si="9"/>
        <v>1752</v>
      </c>
      <c r="AK21" s="967">
        <f t="shared" si="9"/>
        <v>5703</v>
      </c>
      <c r="AL21" s="967">
        <f t="shared" si="9"/>
        <v>0</v>
      </c>
      <c r="AM21" s="980">
        <f t="shared" si="9"/>
        <v>0</v>
      </c>
      <c r="AN21" s="970">
        <f>IF(ISNUMBER(Datos!K21/Datos!J21),Datos!K21/Datos!J21," - ")</f>
        <v>0.88211739427678482</v>
      </c>
      <c r="AO21" s="970">
        <f>IF(ISNUMBER(FIND("06",Criterios!A8,1)),(IF(ISNUMBER(((Datos!R21/Datos!Q21)*11)/factor_trimestre),((Datos!R21/Datos!Q21)*11)/factor_trimestre," - ")),(IF(ISNUMBER(((Datos!L21/Datos!K21)*11)/factor_trimestre),((Datos!L21/Datos!K21)*11)/factor_trimestre," - ")))</f>
        <v>3.6094995571302042</v>
      </c>
      <c r="AP21" s="981" t="str">
        <f>IF(ISNUMBER(Datos!CI21/Datos!CJ21),Datos!CI21/Datos!CJ21," - ")</f>
        <v xml:space="preserve"> - </v>
      </c>
      <c r="AQ21" s="981">
        <f>IF(OR(ISNUMBER(FIND("01",Criterios!A8,1)),ISNUMBER(FIND("02",Criterios!A8,1)),ISNUMBER(FIND("03",Criterios!A8,1)),ISNUMBER(FIND("04",Criterios!A8,1))),(J21-Y21+K21)/(F21-K21),(I21-Y21+K21)/(F21-K21))</f>
        <v>-1.5282661617527724</v>
      </c>
      <c r="AR21" s="981">
        <f>IF(ISNUMBER((Datos!P21-Datos!Q21+O21)/(Datos!R21-Datos!P21+Datos!Q21-O21)),(Datos!P21-Datos!Q21+O21)/(Datos!R21-Datos!P21+Datos!Q21-O21)," - ")</f>
        <v>-1.3585186563692193E-2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1638.4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1977.4246719744683</v>
      </c>
      <c r="G23" s="601">
        <f>IF(ISNUMBER(STDEV(G8:G20)),STDEV(G8:G20),"-")</f>
        <v>1929.9816838509116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538.87068861427144</v>
      </c>
      <c r="AK23" s="257"/>
      <c r="AL23" s="257">
        <f>IF(ISNUMBER(STDEV(AL8:AL20)),STDEV(AL8:AL20),"-")</f>
        <v>0</v>
      </c>
      <c r="AM23" s="259">
        <f>IF(ISNUMBER(STDEV(AM8:AM20)),STDEV(AM8:AM20),"-")</f>
        <v>0</v>
      </c>
      <c r="AN23" s="587">
        <f>IF(ISNUMBER(STDEV(AN8:AN20)),STDEV(AN8:AN20),"-")</f>
        <v>0</v>
      </c>
      <c r="AO23" s="588">
        <f>IF(ISNUMBER(STDEV(AO8:AO20)),STDEV(AO8:AO20),"-")</f>
        <v>2.0461041825306485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KjJRV5UPr1qWNrnHQ6AKTR3ZbBioFvtl/dnsTe2NtNTDDTXNsgmVBWrsI06c/sikCSNZf8kksYzG927ldUgLA==" saltValue="k6dVthok7Vd0blCzcG3j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jKzOne945lMeCuPUP78MIYr16r1x4FVBq1jveiSUUr0e8qakqY9iKq/rDXHi0t+9x/+NjuQju1jYvuD2VTb/Q==" saltValue="WF2JcKhJTVXD/DdgLOrR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eloE3UqnXDnjl/fq2YQWxp1lJbjbSvB5FSf+LBc/DleY2tEK+zJb11jPizG/rZJTpNAx24ACC+Scxm3M+3Wyg==" saltValue="VPhFVJHu9hxWZzuTLIrZ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NAVARRA</v>
      </c>
      <c r="F1" s="753"/>
    </row>
    <row r="2" spans="1:75" ht="16.5" customHeight="1">
      <c r="C2" s="521" t="str">
        <f>Criterios!A10 &amp;"  "&amp;Criterios!B10 &amp; "  " &amp; IF(NOT(ISBLANK(Criterios!A11)),Criterios!A11 &amp;"  "&amp;Criterios!B11,"")</f>
        <v>Provincias  NAVARRA  Resumenes por Partidos Judiciales  PAMPLONA-IRUÑA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0.35625000000000001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0.25190679079770756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mfWoYZ9xk2iTQDWyPTud55YXT5XbM3zB2cSAzoSHQbEsEZSSiKa/nWSH0N2xUhH7LCjRIXF91VbSKS8o/ZkIA==" saltValue="R4KBa6L1Wm7dnJZX63ef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ENNktdImfjHLqjDouNPofTPU/RJr/oAV3CWzVwyyUKIAGY1cqK8/c+ZVvhYRqQf21JYeoknO/gKHov5z8PvyA==" saltValue="REedgdlmB2VIAwb6YHZf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NAVARRA</v>
      </c>
      <c r="C2" s="400"/>
      <c r="D2" s="400"/>
      <c r="E2" s="400"/>
      <c r="F2" s="400"/>
    </row>
    <row r="3" spans="1:14" ht="19.5">
      <c r="A3" s="402" t="s">
        <v>128</v>
      </c>
      <c r="B3" s="403" t="str">
        <f>Criterios!A10 &amp;"  "&amp;Criterios!B10</f>
        <v>Provincias  NAVARRA</v>
      </c>
      <c r="D3" s="400"/>
      <c r="E3" s="400"/>
      <c r="F3" s="400"/>
    </row>
    <row r="4" spans="1:14" ht="13.5" thickBot="1">
      <c r="A4" s="400"/>
      <c r="B4" s="403" t="str">
        <f>Criterios!A11 &amp;"  "&amp;Criterios!B11</f>
        <v>Resumenes por Partidos Judiciales  PAMPLONA-IRUÑA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5179</v>
      </c>
      <c r="D9" s="416">
        <f>IF(ISNUMBER(C9/Datos!BH9),C9/Datos!BH9," - ")</f>
        <v>647.375</v>
      </c>
      <c r="E9" s="415">
        <f>IF(ISNUMBER(IF(J_V="SI",Datos!J9,Datos!J9+Datos!Z9)),IF(J_V="SI",Datos!J9,Datos!J9+Datos!Z9)," - ")</f>
        <v>3548</v>
      </c>
      <c r="F9" s="416">
        <f>IF(ISNUMBER(E9/B9),E9/B9," - ")</f>
        <v>443.5</v>
      </c>
      <c r="G9" s="415">
        <f>IF(ISNUMBER(IF(J_V="SI",Datos!K9,Datos!K9+Datos!AA9)),IF(J_V="SI",Datos!K9,Datos!K9+Datos!AA9)," - ")</f>
        <v>3397</v>
      </c>
      <c r="H9" s="416">
        <f>IF(ISNUMBER(G9/B9),G9/B9," - ")</f>
        <v>424.625</v>
      </c>
      <c r="I9" s="415">
        <f>IF(ISNUMBER(IF(J_V="SI",Datos!L9,Datos!L9+Datos!AB9)),IF(J_V="SI",Datos!L9,Datos!L9+Datos!AB9)," - ")</f>
        <v>5344</v>
      </c>
      <c r="J9" s="416">
        <f>IF(ISNUMBER(I9/B9),I9/B9," - ")</f>
        <v>668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136</v>
      </c>
      <c r="D10" s="416">
        <f>IF(ISNUMBER(C10/Datos!BH10),C10/Datos!BH10," - ")</f>
        <v>136</v>
      </c>
      <c r="E10" s="415">
        <f>IF(ISNUMBER(Datos!J10),Datos!J10," - ")</f>
        <v>84</v>
      </c>
      <c r="F10" s="416">
        <f>IF(ISNUMBER(E10/B10),E10/B10," - ")</f>
        <v>84</v>
      </c>
      <c r="G10" s="415">
        <f>IF(ISNUMBER(Datos!K10),Datos!K10," - ")</f>
        <v>65</v>
      </c>
      <c r="H10" s="416">
        <f>IF(ISNUMBER(G10/B10),G10/B10," - ")</f>
        <v>65</v>
      </c>
      <c r="I10" s="415">
        <f>IF(ISNUMBER(Datos!L10),Datos!L10," - ")</f>
        <v>155</v>
      </c>
      <c r="J10" s="416">
        <f>IF(ISNUMBER(I10/B10),I10/B10," - ")</f>
        <v>155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595</v>
      </c>
      <c r="D11" s="416">
        <f>IF(ISNUMBER(C11/Datos!BH11),C11/Datos!BH11," - ")</f>
        <v>297.5</v>
      </c>
      <c r="E11" s="415">
        <f>IF(ISNUMBER(IF(J_V="SI",Datos!J11,Datos!J11+Datos!Z11)),IF(J_V="SI",Datos!J11,Datos!J11+Datos!Z11)," - ")</f>
        <v>624</v>
      </c>
      <c r="F11" s="416">
        <f>IF(ISNUMBER(E11/B11),E11/B11," - ")</f>
        <v>312</v>
      </c>
      <c r="G11" s="415">
        <f>IF(ISNUMBER(IF(J_V="SI",Datos!K11,Datos!K11+Datos!AA11)),IF(J_V="SI",Datos!K11,Datos!K11+Datos!AA11)," - ")</f>
        <v>378</v>
      </c>
      <c r="H11" s="416">
        <f>IF(ISNUMBER(G11/B11),G11/B11," - ")</f>
        <v>189</v>
      </c>
      <c r="I11" s="415">
        <f>IF(ISNUMBER(IF(J_V="SI",Datos!L11,Datos!L11+Datos!AB11)),IF(J_V="SI",Datos!L11,Datos!L11+Datos!AB11)," - ")</f>
        <v>841</v>
      </c>
      <c r="J11" s="416">
        <f>IF(ISNUMBER(I11/B11),I11/B11," - ")</f>
        <v>420.5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11</v>
      </c>
      <c r="C14" s="996">
        <f>SUBTOTAL(9,C8:C13)</f>
        <v>5910</v>
      </c>
      <c r="D14" s="997" t="str">
        <f>IF(ISNUMBER(C14/Datos!BI14),C14/Datos!BI14," - ")</f>
        <v xml:space="preserve"> - </v>
      </c>
      <c r="E14" s="996">
        <f>SUBTOTAL(9,E8:E13)</f>
        <v>4256</v>
      </c>
      <c r="F14" s="997">
        <f>IF(ISNUMBER(E14/B14),E14/B14," - ")</f>
        <v>386.90909090909093</v>
      </c>
      <c r="G14" s="996">
        <f>SUBTOTAL(9,G8:G13)</f>
        <v>3840</v>
      </c>
      <c r="H14" s="997">
        <f>IF(ISNUMBER(G14/B14),G14/B14," - ")</f>
        <v>349.09090909090907</v>
      </c>
      <c r="I14" s="996">
        <f>SUBTOTAL(9,I8:I13)</f>
        <v>6340</v>
      </c>
      <c r="J14" s="997">
        <f>IF(ISNUMBER(I14/B14),I14/B14," - ")</f>
        <v>576.36363636363637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3523</v>
      </c>
      <c r="D16" s="416">
        <f>IF(ISNUMBER(C16/Datos!BH16),C16/Datos!BH16," - ")</f>
        <v>704.6</v>
      </c>
      <c r="E16" s="415">
        <f>IF(ISNUMBER(IF(D_I="SI",Datos!J16,Datos!J16+Datos!AD16)),IF(D_I="SI",Datos!J16,Datos!J16+Datos!AD16)," - ")</f>
        <v>5791</v>
      </c>
      <c r="F16" s="416">
        <f>IF(ISNUMBER(E16/B16),E16/B16," - ")</f>
        <v>1158.2</v>
      </c>
      <c r="G16" s="415">
        <f>IF(ISNUMBER(IF(D_I="SI",Datos!K16,Datos!K16+Datos!AE16)),IF(D_I="SI",Datos!K16,Datos!K16+Datos!AE16)," - ")</f>
        <v>4977</v>
      </c>
      <c r="H16" s="416">
        <f>IF(ISNUMBER(G16/B16),G16/B16," - ")</f>
        <v>995.4</v>
      </c>
      <c r="I16" s="415">
        <f>IF(ISNUMBER(IF(D_I="SI",Datos!L16,Datos!L16+Datos!AF16)),IF(D_I="SI",Datos!L16,Datos!L16+Datos!AF16)," - ")</f>
        <v>4375</v>
      </c>
      <c r="J16" s="416">
        <f>IF(ISNUMBER(I16/B16),I16/B16," - ")</f>
        <v>875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437</v>
      </c>
      <c r="D18" s="416">
        <f>IF(ISNUMBER(C18/Datos!BH18),C18/Datos!BH18," - ")</f>
        <v>437</v>
      </c>
      <c r="E18" s="415">
        <f>IF(ISNUMBER(IF(D_I="SI",Datos!J18,Datos!J18+Datos!AD18)),IF(D_I="SI",Datos!J18,Datos!J18+Datos!AD18)," - ")</f>
        <v>587</v>
      </c>
      <c r="F18" s="416">
        <f>IF(ISNUMBER(E18/B18),E18/B18," - ")</f>
        <v>587</v>
      </c>
      <c r="G18" s="415">
        <f>IF(ISNUMBER(IF(D_I="SI",Datos!K18,Datos!K18+Datos!AE18)),IF(D_I="SI",Datos!K18,Datos!K18+Datos!AE18)," - ")</f>
        <v>608</v>
      </c>
      <c r="H18" s="416">
        <f>IF(ISNUMBER(G18/B18),G18/B18," - ")</f>
        <v>608</v>
      </c>
      <c r="I18" s="415">
        <f>IF(ISNUMBER(IF(D_I="SI",Datos!L18,Datos!L18+Datos!AF18)),IF(D_I="SI",Datos!L18,Datos!L18+Datos!AF18)," - ")</f>
        <v>416</v>
      </c>
      <c r="J18" s="416">
        <f>IF(ISNUMBER(I18/B18),I18/B18," - ")</f>
        <v>416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3960</v>
      </c>
      <c r="D20" s="997" t="str">
        <f>IF(ISNUMBER(C20/Datos!BI20),C20/Datos!BI20," - ")</f>
        <v xml:space="preserve"> - </v>
      </c>
      <c r="E20" s="996">
        <f>SUBTOTAL(9,E15:E19)</f>
        <v>6378</v>
      </c>
      <c r="F20" s="997">
        <f>IF(ISNUMBER(E20/B20),E20/B20," - ")</f>
        <v>1063</v>
      </c>
      <c r="G20" s="996">
        <f>SUBTOTAL(9,G15:G19)</f>
        <v>5585</v>
      </c>
      <c r="H20" s="997">
        <f>IF(ISNUMBER(G20/B20),G20/B20," - ")</f>
        <v>930.83333333333337</v>
      </c>
      <c r="I20" s="996">
        <f>SUBTOTAL(9,I15:I19)</f>
        <v>4791</v>
      </c>
      <c r="J20" s="997">
        <f>IF(ISNUMBER(I20/B20),I20/B20," - ")</f>
        <v>798.5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16</v>
      </c>
      <c r="C21" s="941">
        <f>SUBTOTAL(9,C9:C20)</f>
        <v>9870</v>
      </c>
      <c r="D21" s="942" t="str">
        <f>IF(ISNUMBER(C21/Datos!BI21),C21/Datos!BI21," - ")</f>
        <v xml:space="preserve"> - </v>
      </c>
      <c r="E21" s="941">
        <f>SUBTOTAL(9,E9:E20)</f>
        <v>10634</v>
      </c>
      <c r="F21" s="942">
        <f>IF(ISNUMBER(E21/B21),E21/B21," - ")</f>
        <v>664.625</v>
      </c>
      <c r="G21" s="941">
        <f>SUBTOTAL(9,G9:G20)</f>
        <v>9425</v>
      </c>
      <c r="H21" s="942">
        <f>IF(ISNUMBER(G21/B21),G21/B21," - ")</f>
        <v>589.0625</v>
      </c>
      <c r="I21" s="941">
        <f>SUBTOTAL(9,I9:I20)</f>
        <v>11131</v>
      </c>
      <c r="J21" s="942">
        <f>IF(ISNUMBER(I21/B21),I21/B21," - ")</f>
        <v>695.6875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lmKG+/oFa4X1tcshvrEi7M7Nn5n578TxHItX7LWLSM3LuPgRSf+Zret+mwJsesmqmpIn2H1SeIS4DoDjxlBlw==" saltValue="+jsqKVkOZdEVyC/lAZKsV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NAVARRA</v>
      </c>
      <c r="F1" s="753"/>
      <c r="W1"/>
      <c r="X1"/>
      <c r="BE1" s="753"/>
    </row>
    <row r="2" spans="1:65" ht="16.5" customHeight="1">
      <c r="C2" s="521" t="str">
        <f>Criterios!A10 &amp;"  "&amp;Criterios!B10 &amp; "  " &amp; IF(NOT(ISBLANK(Criterios!A11)),Criterios!A11 &amp;"  "&amp;Criterios!B11,"")</f>
        <v>Provincias  NAVARRA  Resumenes por Partidos Judiciales  PAMPLONA-IRUÑA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136</v>
      </c>
      <c r="G10" s="803">
        <f>IF(ISNUMBER(Datos!I10),Datos!I10," - ")</f>
        <v>136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65</v>
      </c>
      <c r="AC10" s="802" t="str">
        <f>IF(ISNUMBER(IF(D_I="SI",DatosP!K18,DatosP!K18+DatosP!AE18)),IF(D_I="SI",DatosP!K18,DatosP!K18+DatosP!AE18)," - ")</f>
        <v xml:space="preserve"> - </v>
      </c>
      <c r="AD10" s="804"/>
      <c r="AE10" s="804"/>
      <c r="AF10" s="807">
        <f>IF(ISNUMBER(Datos!L10),Datos!L10,"-")</f>
        <v>155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32</v>
      </c>
      <c r="AM10" s="811">
        <f>IF(ISNUMBER(Datos!N10+DatosP!N18),Datos!N10+DatosP!N18," - ")</f>
        <v>23</v>
      </c>
      <c r="AN10" s="811">
        <f>IF(ISNUMBER(Datos!BW10+DatosP!BW18),Datos!BW10+DatosP!BW18," - ")</f>
        <v>0</v>
      </c>
      <c r="AO10" s="812">
        <f>IF(ISNUMBER(Datos!BX10+DatosP!BX18),Datos!BX10+DatosP!BX18," - ")</f>
        <v>0</v>
      </c>
      <c r="AP10" s="814">
        <f>IF(ISNUMBER(((Datos!L10/Datos!K10)*11)/factor_trimestre),((Datos!L10/Datos!K10)*11)/factor_trimestre," - ")</f>
        <v>7.1538461538461542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11</v>
      </c>
      <c r="F14" s="1085">
        <f t="shared" si="0"/>
        <v>136</v>
      </c>
      <c r="G14" s="1085">
        <f t="shared" si="0"/>
        <v>136</v>
      </c>
      <c r="H14" s="1085">
        <f t="shared" si="0"/>
        <v>0</v>
      </c>
      <c r="I14" s="1087">
        <f t="shared" si="0"/>
        <v>0</v>
      </c>
      <c r="J14" s="1086">
        <f t="shared" si="0"/>
        <v>0</v>
      </c>
      <c r="K14" s="1086">
        <f t="shared" si="0"/>
        <v>0</v>
      </c>
      <c r="L14" s="1088">
        <f t="shared" si="0"/>
        <v>0</v>
      </c>
      <c r="M14" s="1088">
        <f t="shared" si="0"/>
        <v>0</v>
      </c>
      <c r="N14" s="1086">
        <f t="shared" si="0"/>
        <v>32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65</v>
      </c>
      <c r="AC14" s="1086">
        <f t="shared" si="1"/>
        <v>0</v>
      </c>
      <c r="AD14" s="1086">
        <f t="shared" si="1"/>
        <v>0</v>
      </c>
      <c r="AE14" s="1086">
        <f t="shared" si="1"/>
        <v>0</v>
      </c>
      <c r="AF14" s="1086">
        <f t="shared" si="1"/>
        <v>155</v>
      </c>
      <c r="AG14" s="1086">
        <f t="shared" si="1"/>
        <v>0</v>
      </c>
      <c r="AH14" s="1086">
        <f t="shared" si="1"/>
        <v>0</v>
      </c>
      <c r="AI14" s="1086">
        <f t="shared" si="1"/>
        <v>0</v>
      </c>
      <c r="AJ14" s="1086">
        <f t="shared" si="1"/>
        <v>0</v>
      </c>
      <c r="AK14" s="1086">
        <f t="shared" si="1"/>
        <v>0</v>
      </c>
      <c r="AL14" s="1086">
        <f t="shared" si="1"/>
        <v>32</v>
      </c>
      <c r="AM14" s="1086">
        <f t="shared" si="1"/>
        <v>23</v>
      </c>
      <c r="AN14" s="1086">
        <f t="shared" si="1"/>
        <v>0</v>
      </c>
      <c r="AO14" s="1086">
        <f t="shared" si="1"/>
        <v>0</v>
      </c>
      <c r="AP14" s="1091">
        <f>IF(ISNUMBER(((Datos!L14/Datos!K14)*11)/factor_trimestre),((Datos!L14/Datos!K14)*11)/factor_trimestre," - ")</f>
        <v>5.2880765883376855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-0.47794117647058826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2.5735004476275738</v>
      </c>
      <c r="AQ20" s="1091">
        <f>IF(ISNUMBER(((Datos!M20/Datos!L20)*11)/factor_trimestre),((Datos!M20/Datos!L20)*11)/factor_trimestre," - ")</f>
        <v>0.24045084533500313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-1.5981735159817351E-2</v>
      </c>
      <c r="AW20" s="1093">
        <f>IF(ISNUMBER((Datos!Q20-Datos!R20)/(Datos!S20-Datos!Q20+Datos!R20)),(Datos!Q20-Datos!R20)/(Datos!S20-Datos!Q20+Datos!R20)," - ")</f>
        <v>-9.2691622103386814E-2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11</v>
      </c>
      <c r="F21" s="1098">
        <f t="shared" si="4"/>
        <v>136</v>
      </c>
      <c r="G21" s="1098">
        <f t="shared" si="4"/>
        <v>136</v>
      </c>
      <c r="H21" s="1098">
        <f t="shared" si="4"/>
        <v>0</v>
      </c>
      <c r="I21" s="1099">
        <f t="shared" si="4"/>
        <v>0</v>
      </c>
      <c r="J21" s="1100">
        <f t="shared" si="4"/>
        <v>0</v>
      </c>
      <c r="K21" s="1100">
        <f t="shared" si="4"/>
        <v>0</v>
      </c>
      <c r="L21" s="1100">
        <f t="shared" si="4"/>
        <v>0</v>
      </c>
      <c r="M21" s="1100">
        <f t="shared" si="4"/>
        <v>0</v>
      </c>
      <c r="N21" s="1099">
        <f t="shared" si="4"/>
        <v>32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65</v>
      </c>
      <c r="AC21" s="1104">
        <f t="shared" si="5"/>
        <v>0</v>
      </c>
      <c r="AD21" s="1104">
        <f t="shared" si="5"/>
        <v>0</v>
      </c>
      <c r="AE21" s="1104">
        <f t="shared" si="5"/>
        <v>0</v>
      </c>
      <c r="AF21" s="1105">
        <f t="shared" si="5"/>
        <v>155</v>
      </c>
      <c r="AG21" s="1105">
        <f t="shared" si="5"/>
        <v>0</v>
      </c>
      <c r="AH21" s="1105">
        <f t="shared" si="5"/>
        <v>0</v>
      </c>
      <c r="AI21" s="1105">
        <f t="shared" si="5"/>
        <v>0</v>
      </c>
      <c r="AJ21" s="1106">
        <f t="shared" si="5"/>
        <v>0</v>
      </c>
      <c r="AK21" s="1106">
        <f t="shared" si="5"/>
        <v>0</v>
      </c>
      <c r="AL21" s="1098">
        <f t="shared" si="5"/>
        <v>32</v>
      </c>
      <c r="AM21" s="1098">
        <f t="shared" si="5"/>
        <v>23</v>
      </c>
      <c r="AN21" s="1098">
        <f t="shared" si="5"/>
        <v>0</v>
      </c>
      <c r="AO21" s="1098">
        <f t="shared" si="5"/>
        <v>0</v>
      </c>
      <c r="AP21" s="1098">
        <f>IF(ISNUMBER(((Datos!L21/Datos!K21)*11)/factor_trimestre),((Datos!L21/Datos!K21)*11)/factor_trimestre," - ")</f>
        <v>3.6094995571302042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-0.47794117647058826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-1.3585186563692193E-2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90.666666666666671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4.4880794492585734</v>
      </c>
      <c r="F23" s="870">
        <f>IF(ISNUMBER(STDEV(F8:F20)),STDEV(F8:F20),"-")</f>
        <v>78.519636609789103</v>
      </c>
      <c r="G23" s="871">
        <f>IF(ISNUMBER(STDEV(G8:G20)),STDEV(G8:G20),"-")</f>
        <v>78.519636609789103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37.527767497325677</v>
      </c>
      <c r="AC23" s="872">
        <f>IF(ISNUMBER(STDEV(AC8:AC20)),STDEV(AC8:AC20),"-")</f>
        <v>0</v>
      </c>
      <c r="AD23" s="875"/>
      <c r="AE23" s="875"/>
      <c r="AF23" s="875"/>
      <c r="AG23" s="875"/>
      <c r="AH23" s="875"/>
      <c r="AI23" s="875"/>
      <c r="AJ23" s="876">
        <f>IF(ISNUMBER(STDEV(AJ8:AJ20)),STDEV(AJ8:AJ20),"-")</f>
        <v>0</v>
      </c>
      <c r="AK23" s="878"/>
      <c r="AL23" s="870">
        <f>IF(ISNUMBER(STDEV(AL8:AL20)),STDEV(AL8:AL20),"-")</f>
        <v>18.475208614068027</v>
      </c>
      <c r="AM23" s="870"/>
      <c r="AN23" s="870">
        <f>IF(ISNUMBER(STDEV(AN8:AN20)),STDEV(AN8:AN20),"-")</f>
        <v>0</v>
      </c>
      <c r="AO23" s="876">
        <f>IF(ISNUMBER(STDEV(AO8:AO20)),STDEV(AO8:AO20),"-")</f>
        <v>0</v>
      </c>
      <c r="AP23" s="923">
        <f>IF(ISNUMBER(STDEV(AP8:AP20)),STDEV(AP8:AP20),"-")</f>
        <v>2.3032435999319629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I6CiW8ZrGYqkEhr8MxDtBqjl0kEhthxv9sm8df2m000O2KTTZAXBiEF62ZHX3qZi+or2ujB4nnvFxsLqVYjuw==" saltValue="gmKxC+YcknrHmZgy8xtN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NAVARRA</v>
      </c>
      <c r="C2" s="400"/>
      <c r="E2" s="400"/>
      <c r="F2" s="400"/>
      <c r="G2" s="400"/>
      <c r="H2" s="400"/>
    </row>
    <row r="3" spans="1:15" ht="39">
      <c r="A3" s="427" t="s">
        <v>241</v>
      </c>
      <c r="B3" s="403" t="str">
        <f>Criterios!A10 &amp;"  "&amp;Criterios!B10</f>
        <v>Provincias  NAVARRA</v>
      </c>
      <c r="C3" s="427"/>
      <c r="F3" s="400"/>
      <c r="G3" s="400"/>
      <c r="H3" s="400"/>
    </row>
    <row r="4" spans="1:15" ht="13.5" thickBot="1">
      <c r="A4" s="400"/>
      <c r="B4" s="403" t="str">
        <f>Criterios!A11 &amp;"  "&amp;Criterios!B11</f>
        <v>Resumenes por Partidos Judiciales  PAMPLONA-IRUÑA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3WwoxTl9L8ggIDEzfag9qEalA+C63RgDTFVScoq2p6WqDjwGADQvzD9bgiHq5B8yet1PZ+5D84StRzCtSpBlA==" saltValue="ovDsZUOrFhIAL0+bkPzhC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NAVARRA</v>
      </c>
      <c r="C2" s="439"/>
      <c r="D2" s="382"/>
    </row>
    <row r="3" spans="1:9" ht="19.5">
      <c r="A3" s="440" t="s">
        <v>11</v>
      </c>
      <c r="B3" s="441" t="str">
        <f>Criterios!A10 &amp;"  "&amp;Criterios!B10</f>
        <v>Provincias  NAVARRA</v>
      </c>
      <c r="C3" s="439"/>
      <c r="D3" s="440"/>
    </row>
    <row r="4" spans="1:9" ht="13.5" thickBot="1">
      <c r="B4" s="441" t="str">
        <f>Criterios!A11 &amp;"  "&amp;Criterios!B11</f>
        <v>Resumenes por Partidos Judiciales  PAMPLONA-IRUÑA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1153</v>
      </c>
      <c r="E9" s="416">
        <f t="shared" ref="E9:E14" si="0">IF(ISNUMBER(D9/B9),D9/B9," - ")</f>
        <v>144.125</v>
      </c>
      <c r="F9" s="415">
        <f>IF(ISNUMBER(Datos!N9),Datos!N9," - ")</f>
        <v>1212</v>
      </c>
      <c r="G9" s="416">
        <f t="shared" ref="G9:G14" si="1">IF(ISNUMBER(F9/B9),F9/B9," - ")</f>
        <v>151.5</v>
      </c>
      <c r="H9" s="415">
        <f>IF(ISNUMBER(Datos!O9),Datos!O9," - ")</f>
        <v>1394</v>
      </c>
      <c r="I9" s="416">
        <f>IF(ISNUMBER(H9/B9),H9/B9," - ")</f>
        <v>174.25</v>
      </c>
    </row>
    <row r="10" spans="1:9">
      <c r="A10" s="414" t="str">
        <f>Datos!A10</f>
        <v>Jdos. Violencia contra la mujer</v>
      </c>
      <c r="B10" s="444">
        <f>Datos!AO10</f>
        <v>1</v>
      </c>
      <c r="C10" s="422">
        <f>Datos!AQ10</f>
        <v>1</v>
      </c>
      <c r="D10" s="415">
        <f>IF(ISNUMBER(Datos!M10),Datos!M10," - ")</f>
        <v>32</v>
      </c>
      <c r="E10" s="416">
        <f>IF(ISNUMBER(D10/B10),D10/B10," - ")</f>
        <v>32</v>
      </c>
      <c r="F10" s="415">
        <f>IF(ISNUMBER(Datos!N10),Datos!N10," - ")</f>
        <v>23</v>
      </c>
      <c r="G10" s="416">
        <f>IF(ISNUMBER(F10/B10),F10/B10," - ")</f>
        <v>23</v>
      </c>
      <c r="H10" s="415">
        <f>IF(ISNUMBER(Datos!O10),Datos!O10," - ")</f>
        <v>34</v>
      </c>
      <c r="I10" s="416">
        <f t="shared" ref="I10:I13" si="2">IF(ISNUMBER(H10/B10),H10/B10," - ")</f>
        <v>34</v>
      </c>
    </row>
    <row r="11" spans="1:9">
      <c r="A11" s="414" t="str">
        <f>Datos!A11</f>
        <v xml:space="preserve">Jdos. Familia                                   </v>
      </c>
      <c r="B11" s="444">
        <f>Datos!AO11</f>
        <v>2</v>
      </c>
      <c r="C11" s="422">
        <f>Datos!AQ11</f>
        <v>2</v>
      </c>
      <c r="D11" s="415">
        <f>IF(ISNUMBER(Datos!M11),Datos!M11," - ")</f>
        <v>183</v>
      </c>
      <c r="E11" s="416">
        <f t="shared" si="0"/>
        <v>91.5</v>
      </c>
      <c r="F11" s="415">
        <f>IF(ISNUMBER(Datos!N11),Datos!N11," - ")</f>
        <v>103</v>
      </c>
      <c r="G11" s="416">
        <f t="shared" si="1"/>
        <v>51.5</v>
      </c>
      <c r="H11" s="415">
        <f>IF(ISNUMBER(Datos!O11),Datos!O11," - ")</f>
        <v>130</v>
      </c>
      <c r="I11" s="416">
        <f t="shared" si="2"/>
        <v>65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v>
      </c>
      <c r="C14" s="998">
        <f>Datos!AR14</f>
        <v>11</v>
      </c>
      <c r="D14" s="996">
        <f>SUBTOTAL(9,D9:D13)</f>
        <v>1368</v>
      </c>
      <c r="E14" s="997">
        <f t="shared" si="0"/>
        <v>124.36363636363636</v>
      </c>
      <c r="F14" s="996">
        <f>SUBTOTAL(9,F9:F13)</f>
        <v>1338</v>
      </c>
      <c r="G14" s="997">
        <f t="shared" si="1"/>
        <v>121.63636363636364</v>
      </c>
      <c r="H14" s="996">
        <f>SUBTOTAL(9,H9:H13)</f>
        <v>1558</v>
      </c>
      <c r="I14" s="997">
        <f>IF(ISNUMBER(H14/B14),H14/B14," - ")</f>
        <v>141.63636363636363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333</v>
      </c>
      <c r="E16" s="416">
        <f t="shared" ref="E16:E20" si="3">IF(ISNUMBER(D16/B16),D16/B16," - ")</f>
        <v>66.599999999999994</v>
      </c>
      <c r="F16" s="415">
        <f>IF(ISNUMBER(Datos!N16),Datos!N16," - ")</f>
        <v>3909</v>
      </c>
      <c r="G16" s="416">
        <f t="shared" ref="G16:G20" si="4">IF(ISNUMBER(F16/B16),F16/B16," - ")</f>
        <v>781.8</v>
      </c>
      <c r="H16" s="415">
        <f>IF(ISNUMBER(Datos!O16),Datos!O16," - ")</f>
        <v>4</v>
      </c>
      <c r="I16" s="416">
        <f t="shared" ref="I16:I19" si="5">IF(ISNUMBER(H16/B16),H16/B16," - ")</f>
        <v>0.8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51</v>
      </c>
      <c r="E18" s="416">
        <f>IF(ISNUMBER(D18/B18),D18/B18," - ")</f>
        <v>51</v>
      </c>
      <c r="F18" s="415">
        <f>IF(ISNUMBER(Datos!N18),Datos!N18," - ")</f>
        <v>456</v>
      </c>
      <c r="G18" s="416">
        <f>IF(ISNUMBER(F18/B18),F18/B18," - ")</f>
        <v>456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384</v>
      </c>
      <c r="E20" s="997">
        <f t="shared" si="3"/>
        <v>64</v>
      </c>
      <c r="F20" s="996">
        <f>SUBTOTAL(9,F16:F19)</f>
        <v>4365</v>
      </c>
      <c r="G20" s="997">
        <f t="shared" si="4"/>
        <v>727.5</v>
      </c>
      <c r="H20" s="996">
        <f>SUBTOTAL(9,H16:H19)</f>
        <v>4</v>
      </c>
      <c r="I20" s="997">
        <f>IF(ISNUMBER(H20/B20),H20/B20," - ")</f>
        <v>0.66666666666666663</v>
      </c>
    </row>
    <row r="21" spans="1:9" ht="14.25" thickTop="1" thickBot="1">
      <c r="A21" s="940" t="str">
        <f>Datos!A21</f>
        <v>TOTAL JURISDICCIONES</v>
      </c>
      <c r="B21" s="941">
        <f>Datos!AP21</f>
        <v>16</v>
      </c>
      <c r="C21" s="941">
        <f>Datos!AR21</f>
        <v>16</v>
      </c>
      <c r="D21" s="941">
        <f>SUBTOTAL(9,D8:D20)</f>
        <v>1752</v>
      </c>
      <c r="E21" s="942">
        <f>IF(ISNUMBER(D21/B21),D21/B21," - ")</f>
        <v>109.5</v>
      </c>
      <c r="F21" s="941">
        <f>SUBTOTAL(9,F8:F20)</f>
        <v>5703</v>
      </c>
      <c r="G21" s="942">
        <f>IF(ISNUMBER(F21/B21),F21/B21," - ")</f>
        <v>356.4375</v>
      </c>
      <c r="H21" s="941">
        <f>SUBTOTAL(9,H8:H20)</f>
        <v>1562</v>
      </c>
      <c r="I21" s="942">
        <f>IF(ISNUMBER(H21/B21),H21/B21," - ")</f>
        <v>97.625</v>
      </c>
    </row>
    <row r="24" spans="1:9">
      <c r="A24" s="403" t="str">
        <f>Criterios!A4</f>
        <v>Fecha Informe: 06 jun. 2023</v>
      </c>
    </row>
    <row r="29" spans="1:9">
      <c r="A29" s="426"/>
    </row>
  </sheetData>
  <sheetProtection algorithmName="SHA-512" hashValue="ROCsXX/0s78LAwwR2von0nxJ9Y6qgQl9Sk0g9DzzIaviSXLcwx4Osv9uMvXFN0HxBrtm9eJRK+fT3maxiwL+Yw==" saltValue="hTobJ+0pQkJG+xpxA+qk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NAVARRA</v>
      </c>
    </row>
    <row r="3" spans="1:4" ht="19.5">
      <c r="A3" s="446" t="s">
        <v>33</v>
      </c>
      <c r="B3" s="403" t="str">
        <f>Criterios!A10 &amp;"  "&amp;Criterios!B10</f>
        <v>Provincias  NAVARRA</v>
      </c>
    </row>
    <row r="4" spans="1:4" ht="13.5" thickBot="1">
      <c r="B4" s="403" t="str">
        <f>Criterios!A11 &amp;"  "&amp;Criterios!B11</f>
        <v>Resumenes por Partidos Judiciales  PAMPLONA-IRUÑA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707</v>
      </c>
      <c r="C9" s="451">
        <f>IF(ISNUMBER(Datos!Q9),Datos!Q9," - ")</f>
        <v>878</v>
      </c>
      <c r="D9" s="420">
        <f>IF(ISNUMBER(Datos!R9),Datos!R9," - ")</f>
        <v>9319</v>
      </c>
    </row>
    <row r="10" spans="1:4">
      <c r="A10" s="414" t="str">
        <f>Datos!A10</f>
        <v>Jdos. Violencia contra la mujer</v>
      </c>
      <c r="B10" s="450">
        <f>IF(ISNUMBER(Datos!P10),Datos!P10," - ")</f>
        <v>32</v>
      </c>
      <c r="C10" s="451">
        <f>IF(ISNUMBER(Datos!Q10),Datos!Q10," - ")</f>
        <v>24</v>
      </c>
      <c r="D10" s="420">
        <f>IF(ISNUMBER(Datos!R10),Datos!R10," - ")</f>
        <v>166</v>
      </c>
    </row>
    <row r="11" spans="1:4">
      <c r="A11" s="414" t="str">
        <f>Datos!A11</f>
        <v xml:space="preserve">Jdos. Familia                                   </v>
      </c>
      <c r="B11" s="450">
        <f>IF(ISNUMBER(Datos!P11),Datos!P11," - ")</f>
        <v>90</v>
      </c>
      <c r="C11" s="451">
        <f>IF(ISNUMBER(Datos!Q11),Datos!Q11," - ")</f>
        <v>66</v>
      </c>
      <c r="D11" s="420">
        <f>IF(ISNUMBER(Datos!R11),Datos!R11," - ")</f>
        <v>685</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829</v>
      </c>
      <c r="C14" s="1000">
        <f>SUBTOTAL(9,C9:C13)</f>
        <v>968</v>
      </c>
      <c r="D14" s="998">
        <f>SUBTOTAL(9,D9:D13)</f>
        <v>10170</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108</v>
      </c>
      <c r="C16" s="451">
        <f>IF(ISNUMBER(Datos!Q16),Datos!Q16," - ")</f>
        <v>117</v>
      </c>
      <c r="D16" s="420">
        <f>IF(ISNUMBER(Datos!R16),Datos!R16," - ")</f>
        <v>423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4</v>
      </c>
      <c r="C18" s="451">
        <f>IF(ISNUMBER(Datos!Q18),Datos!Q18," - ")</f>
        <v>2</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112</v>
      </c>
      <c r="C20" s="1000">
        <f>SUBTOTAL(9,C16:C19)</f>
        <v>119</v>
      </c>
      <c r="D20" s="998">
        <f>SUBTOTAL(9,D16:D19)</f>
        <v>431</v>
      </c>
    </row>
    <row r="21" spans="1:4" ht="16.5" customHeight="1" thickTop="1" thickBot="1">
      <c r="A21" s="940" t="str">
        <f>Datos!A21</f>
        <v>TOTAL JURISDICCIONES</v>
      </c>
      <c r="B21" s="945">
        <f>SUBTOTAL(9,B8:B20)</f>
        <v>941</v>
      </c>
      <c r="C21" s="946">
        <f>SUBTOTAL(9,C8:C20)</f>
        <v>1087</v>
      </c>
      <c r="D21" s="947">
        <f>SUBTOTAL(9,D8:D20)</f>
        <v>10601</v>
      </c>
    </row>
    <row r="22" spans="1:4" ht="7.5" customHeight="1"/>
    <row r="23" spans="1:4" ht="6" customHeight="1"/>
    <row r="24" spans="1:4">
      <c r="A24" s="403" t="str">
        <f>Criterios!A4</f>
        <v>Fecha Informe: 06 jun. 2023</v>
      </c>
    </row>
    <row r="29" spans="1:4">
      <c r="A29" s="426"/>
    </row>
  </sheetData>
  <sheetProtection algorithmName="SHA-512" hashValue="xsuRMZ9UwMNyKcmyeL7y2U6PC1WICsjIfXRKZkRgZfgRZv2UJ17sL347QOL7wqj7YH5txpguRWdP8ceTMpM9kg==" saltValue="bVnuIzZGkd4xNVbn5gRy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NAVARRA</v>
      </c>
    </row>
    <row r="3" spans="1:11" ht="18.75" customHeight="1">
      <c r="A3" s="446" t="s">
        <v>131</v>
      </c>
      <c r="B3" s="403" t="str">
        <f>Criterios!A10 &amp;"  "&amp;Criterios!B10</f>
        <v>Provincias  NAVARRA</v>
      </c>
    </row>
    <row r="4" spans="1:11" ht="10.5" customHeight="1" thickBot="1">
      <c r="B4" s="403" t="str">
        <f>Criterios!A11 &amp;"  "&amp;Criterios!B11</f>
        <v>Resumenes por Partidos Judiciales  PAMPLONA-IRUÑA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0.29734468937875752</v>
      </c>
      <c r="C9" s="473">
        <f>IF(ISNUMBER(
   IF(J_V="SI",(Datos!J9-Datos!T9)/Datos!T9,(Datos!J9+Datos!Z9-(Datos!T9+Datos!AH9))/(Datos!T9+Datos!AH9))
     ),IF(J_V="SI",(Datos!J9-Datos!T9)/Datos!T9,(Datos!J9+Datos!Z9-(Datos!T9+Datos!AH9))/(Datos!T9+Datos!AH9))," - ")</f>
        <v>2.306805074971165E-2</v>
      </c>
      <c r="D9" s="473">
        <f>IF(ISNUMBER(
   IF(J_V="SI",(Datos!K9-Datos!U9)/Datos!U9,(Datos!K9+Datos!AA9-(Datos!U9+Datos!AI9))/(Datos!U9+Datos!AI9))
     ),IF(J_V="SI",(Datos!K9-Datos!U9)/Datos!U9,(Datos!K9+Datos!AA9-(Datos!U9+Datos!AI9))/(Datos!U9+Datos!AI9))," - ")</f>
        <v>-1.0774606872451952E-2</v>
      </c>
      <c r="E9" s="473">
        <f>IF(ISNUMBER(
   IF(J_V="SI",(Datos!L9-Datos!V9)/Datos!V9,(Datos!L9+Datos!AB9-(Datos!V9+Datos!AJ9))/(Datos!V9+Datos!AJ9))
     ),IF(J_V="SI",(Datos!L9-Datos!V9)/Datos!V9,(Datos!L9+Datos!AB9-(Datos!V9+Datos!AJ9))/(Datos!V9+Datos!AJ9))," - ")</f>
        <v>0.34440251572327046</v>
      </c>
      <c r="F9" s="473">
        <f>IF(ISNUMBER((Datos!M9-Datos!W9)/Datos!W9),(Datos!M9-Datos!W9)/Datos!W9," - ")</f>
        <v>8.7735849056603768E-2</v>
      </c>
      <c r="G9" s="474">
        <f>IF(ISNUMBER((Datos!N9-Datos!X9)/Datos!X9),(Datos!N9-Datos!X9)/Datos!X9," - ")</f>
        <v>-3.2894736842105261E-3</v>
      </c>
      <c r="H9" s="472">
        <f>IF(ISNUMBER(((NºAsuntos!G9/NºAsuntos!E9)-Datos!BD9)/Datos!BD9),((NºAsuntos!G9/NºAsuntos!E9)-Datos!BD9)/Datos!BD9," - ")</f>
        <v>-3.3079576277808179E-2</v>
      </c>
      <c r="I9" s="473">
        <f>IF(ISNUMBER(((NºAsuntos!I9/NºAsuntos!G9)-Datos!BE9)/Datos!BE9),((NºAsuntos!I9/NºAsuntos!G9)-Datos!BE9)/Datos!BE9," - ")</f>
        <v>0.35904569885007676</v>
      </c>
      <c r="J9" s="478">
        <f>IF(ISNUMBER((('Resol  Asuntos'!D9/NºAsuntos!G9)-Datos!BF9)/Datos!BF9),(('Resol  Asuntos'!D9/NºAsuntos!G9)-Datos!BF9)/Datos!BF9," - ")</f>
        <v>-4.1481551058983906E-2</v>
      </c>
      <c r="K9" s="479">
        <f>IF(ISNUMBER((((NºAsuntos!C9+NºAsuntos!E9)/NºAsuntos!G9)-Datos!BG9)/Datos!BG9),(((NºAsuntos!C9+NºAsuntos!E9)/NºAsuntos!G9)-Datos!BG9)/Datos!BG9," - ")</f>
        <v>0.18258098732440931</v>
      </c>
    </row>
    <row r="10" spans="1:11">
      <c r="A10" s="414" t="str">
        <f>Datos!A10</f>
        <v>Jdos. Violencia contra la mujer</v>
      </c>
      <c r="B10" s="472">
        <f>IF(ISNUMBER((Datos!I10-Datos!S10)/Datos!S10),(Datos!I10-Datos!S10)/Datos!S10," - ")</f>
        <v>-4.2253521126760563E-2</v>
      </c>
      <c r="C10" s="473">
        <f>IF(ISNUMBER((Datos!J10-Datos!T10)/Datos!T10),(Datos!J10-Datos!T10)/Datos!T10," - ")</f>
        <v>0.12</v>
      </c>
      <c r="D10" s="473">
        <f>IF(ISNUMBER((Datos!K10-Datos!U10)/Datos!U10),(Datos!K10-Datos!U10)/Datos!U10," - ")</f>
        <v>-0.25287356321839083</v>
      </c>
      <c r="E10" s="473">
        <f>IF(ISNUMBER((Datos!L10-Datos!V10)/Datos!V10),(Datos!L10-Datos!V10)/Datos!V10," - ")</f>
        <v>0.19230769230769232</v>
      </c>
      <c r="F10" s="473">
        <f>IF(ISNUMBER((Datos!M10-Datos!W10)/Datos!W10),(Datos!M10-Datos!W10)/Datos!W10," - ")</f>
        <v>6.6666666666666666E-2</v>
      </c>
      <c r="G10" s="474">
        <f>IF(ISNUMBER((Datos!N10-Datos!X10)/Datos!X10),(Datos!N10-Datos!X10)/Datos!X10," - ")</f>
        <v>-0.59649122807017541</v>
      </c>
      <c r="H10" s="472">
        <f>IF(ISNUMBER(((NºAsuntos!G10/NºAsuntos!E10)-Datos!BD10)/Datos!BD10),((NºAsuntos!G10/NºAsuntos!E10)-Datos!BD10)/Datos!BD10," - ")</f>
        <v>-0.3329228243021346</v>
      </c>
      <c r="I10" s="473">
        <f>IF(ISNUMBER(((NºAsuntos!I10/NºAsuntos!G10)-Datos!BE10)/Datos!BE10),((NºAsuntos!I10/NºAsuntos!G10)-Datos!BE10)/Datos!BE10," - ")</f>
        <v>0.59585798816568047</v>
      </c>
      <c r="J10" s="478">
        <f>IF(ISNUMBER((('Resol  Asuntos'!D10/NºAsuntos!G10)-Datos!BF10)/Datos!BF10),(('Resol  Asuntos'!D10/NºAsuntos!G10)-Datos!BF10)/Datos!BF10," - ")</f>
        <v>0.42769230769230765</v>
      </c>
      <c r="K10" s="479">
        <f>IF(ISNUMBER((((NºAsuntos!C10+NºAsuntos!E10)/NºAsuntos!G10)-Datos!BG10)/Datos!BG10),(((NºAsuntos!C10+NºAsuntos!E10)/NºAsuntos!G10)-Datos!BG10)/Datos!BG10," - ")</f>
        <v>0.35696561503013108</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-6.0031595576619273E-2</v>
      </c>
      <c r="C11" s="473">
        <f>IF(ISNUMBER(
   IF(J_V="SI",(Datos!J11-Datos!T11)/Datos!T11,(Datos!J11+Datos!Z11-(Datos!T11+Datos!AH11))/(Datos!T11+Datos!AH11))
     ),IF(J_V="SI",(Datos!J11-Datos!T11)/Datos!T11,(Datos!J11+Datos!Z11-(Datos!T11+Datos!AH11))/(Datos!T11+Datos!AH11))," - ")</f>
        <v>0.23564356435643563</v>
      </c>
      <c r="D11" s="473">
        <f>IF(ISNUMBER(
   IF(J_V="SI",(Datos!K11-Datos!U11)/Datos!U11,(Datos!K11+Datos!AA11-(Datos!U11+Datos!AI11))/(Datos!U11+Datos!AI11))
     ),IF(J_V="SI",(Datos!K11-Datos!U11)/Datos!U11,(Datos!K11+Datos!AA11-(Datos!U11+Datos!AI11))/(Datos!U11+Datos!AI11))," - ")</f>
        <v>-0.34260869565217389</v>
      </c>
      <c r="E11" s="473">
        <f>IF(ISNUMBER(
   IF(J_V="SI",(Datos!L11-Datos!V11)/Datos!V11,(Datos!L11+Datos!AB11-(Datos!V11+Datos!AJ11))/(Datos!V11+Datos!AJ11))
     ),IF(J_V="SI",(Datos!L11-Datos!V11)/Datos!V11,(Datos!L11+Datos!AB11-(Datos!V11+Datos!AJ11))/(Datos!V11+Datos!AJ11))," - ")</f>
        <v>0.49378330373001778</v>
      </c>
      <c r="F11" s="473">
        <f>IF(ISNUMBER((Datos!M11-Datos!W11)/Datos!W11),(Datos!M11-Datos!W11)/Datos!W11," - ")</f>
        <v>-0.41904761904761906</v>
      </c>
      <c r="G11" s="474">
        <f>IF(ISNUMBER((Datos!N11-Datos!X11)/Datos!X11),(Datos!N11-Datos!X11)/Datos!X11," - ")</f>
        <v>-0.36419753086419754</v>
      </c>
      <c r="H11" s="472">
        <f>IF(ISNUMBER(((NºAsuntos!G11/NºAsuntos!E11)-Datos!BD11)/Datos!BD11),((NºAsuntos!G11/NºAsuntos!E11)-Datos!BD11)/Datos!BD11," - ")</f>
        <v>-0.46797658862876251</v>
      </c>
      <c r="I11" s="473">
        <f>IF(ISNUMBER(((NºAsuntos!I11/NºAsuntos!G11)-Datos!BE11)/Datos!BE11),((NºAsuntos!I11/NºAsuntos!G11)-Datos!BE11)/Datos!BE11," - ")</f>
        <v>1.2722894170496299</v>
      </c>
      <c r="J11" s="478">
        <f>IF(ISNUMBER((('Resol  Asuntos'!D11/NºAsuntos!G11)-Datos!BF11)/Datos!BF11),(('Resol  Asuntos'!D11/NºAsuntos!G11)-Datos!BF11)/Datos!BF11," - ")</f>
        <v>0.71835194983343131</v>
      </c>
      <c r="K11" s="479">
        <f>IF(ISNUMBER((((NºAsuntos!C11+NºAsuntos!E11)/NºAsuntos!G11)-Datos!BG11)/Datos!BG11),(((NºAsuntos!C11+NºAsuntos!E11)/NºAsuntos!G11)-Datos!BG11)/Datos!BG11," - ")</f>
        <v>0.62943667996392072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0.23977344241661422</v>
      </c>
      <c r="C14" s="1002">
        <f>IF(ISNUMBER(
   IF(J_V="SI",(Datos!J14-Datos!T14)/Datos!T14,(Datos!J14+Datos!Z14-(Datos!T14+Datos!AH14))/(Datos!T14+Datos!AH14))
     ),IF(J_V="SI",(Datos!J14-Datos!T14)/Datos!T14,(Datos!J14+Datos!Z14-(Datos!T14+Datos!AH14))/(Datos!T14+Datos!AH14))," - ")</f>
        <v>5.1383399209486168E-2</v>
      </c>
      <c r="D14" s="1002">
        <f>IF(ISNUMBER(
   IF(J_V="SI",(Datos!K14-Datos!U14)/Datos!U14,(Datos!K14+Datos!AA14-(Datos!U14+Datos!AI14))/(Datos!U14+Datos!AI14))
     ),IF(J_V="SI",(Datos!K14-Datos!U14)/Datos!U14,(Datos!K14+Datos!AA14-(Datos!U14+Datos!AI14))/(Datos!U14+Datos!AI14))," - ")</f>
        <v>-6.25E-2</v>
      </c>
      <c r="E14" s="1002">
        <f>IF(ISNUMBER(
   IF(J_V="SI",(Datos!L14-Datos!V14)/Datos!V14,(Datos!L14+Datos!AB14-(Datos!V14+Datos!AJ14))/(Datos!V14+Datos!AJ14))
     ),IF(J_V="SI",(Datos!L14-Datos!V14)/Datos!V14,(Datos!L14+Datos!AB14-(Datos!V14+Datos!AJ14))/(Datos!V14+Datos!AJ14))," - ")</f>
        <v>0.35818337617823481</v>
      </c>
      <c r="F14" s="1003">
        <f>IF(ISNUMBER((Datos!M14-Datos!W14)/Datos!W14),(Datos!M14-Datos!W14)/Datos!W14," - ")</f>
        <v>-2.6334519572953737E-2</v>
      </c>
      <c r="G14" s="1004">
        <f>IF(ISNUMBER((Datos!N14-Datos!X14)/Datos!X14),(Datos!N14-Datos!X14)/Datos!X14," - ")</f>
        <v>-6.7595818815331013E-2</v>
      </c>
      <c r="H14" s="1004">
        <f>IF(ISNUMBER(((NºAsuntos!G14/NºAsuntos!E14)-Datos!BD14)/Datos!BD14),((NºAsuntos!G14/NºAsuntos!E14)-Datos!BD14)/Datos!BD14," - ")</f>
        <v>-0.10831766917293233</v>
      </c>
      <c r="I14" s="1004">
        <f>IF(ISNUMBER(((NºAsuntos!I14/NºAsuntos!G14)-Datos!BE14)/Datos!BE14),((NºAsuntos!I14/NºAsuntos!G14)-Datos!BE14)/Datos!BE14," - ")</f>
        <v>0.4487289345901172</v>
      </c>
      <c r="J14" s="1004">
        <f>IF(ISNUMBER((('Resol  Asuntos'!D14/NºAsuntos!G14)-Datos!BF14)/Datos!BF14),(('Resol  Asuntos'!D14/NºAsuntos!G14)-Datos!BF14)/Datos!BF14," - ")</f>
        <v>3.6363636363636397E-2</v>
      </c>
      <c r="K14" s="1004">
        <f>IF(ISNUMBER((((NºAsuntos!C14+NºAsuntos!E14)/NºAsuntos!G14)-Datos!BG14)/Datos!BG14),(((NºAsuntos!C14+NºAsuntos!E14)/NºAsuntos!G14)-Datos!BG14)/Datos!BG14," - ")</f>
        <v>0.23014558517678202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0.35343834037648869</v>
      </c>
      <c r="C16" s="473">
        <f>IF(ISNUMBER(
   IF(D_I="SI",(Datos!J16-Datos!T16)/Datos!T16,(Datos!J16+Datos!AD16-(Datos!T16+Datos!AL16))/(Datos!T16+Datos!AL16))
     ),IF(D_I="SI",(Datos!J16-Datos!T16)/Datos!T16,(Datos!J16+Datos!AD16-(Datos!T16+Datos!AL16))/(Datos!T16+Datos!AL16))," - ")</f>
        <v>0.33218311479181045</v>
      </c>
      <c r="D16" s="473">
        <f>IF(ISNUMBER(
   IF(D_I="SI",(Datos!K16-Datos!U16)/Datos!U16,(Datos!K16+Datos!AE16-(Datos!U16+Datos!AM16))/(Datos!U16+Datos!AM16))
     ),IF(D_I="SI",(Datos!K16-Datos!U16)/Datos!U16,(Datos!K16+Datos!AE16-(Datos!U16+Datos!AM16))/(Datos!U16+Datos!AM16))," - ")</f>
        <v>6.0289731572219854E-2</v>
      </c>
      <c r="E16" s="473">
        <f>IF(ISNUMBER(
   IF(D_I="SI",(Datos!L16-Datos!V16)/Datos!V16,(Datos!L16+Datos!AF16-(Datos!V16+Datos!AN16))/(Datos!V16+Datos!AN16))
     ),IF(D_I="SI",(Datos!L16-Datos!V16)/Datos!V16,(Datos!L16+Datos!AF16-(Datos!V16+Datos!AN16))/(Datos!V16+Datos!AN16))," - ")</f>
        <v>0.91717791411042948</v>
      </c>
      <c r="F16" s="473">
        <f>IF(ISNUMBER((Datos!M16-Datos!W16)/Datos!W16),(Datos!M16-Datos!W16)/Datos!W16," - ")</f>
        <v>-0.38899082568807342</v>
      </c>
      <c r="G16" s="474">
        <f>IF(ISNUMBER((Datos!N16-Datos!X16)/Datos!X16),(Datos!N16-Datos!X16)/Datos!X16," - ")</f>
        <v>0.28290121430915655</v>
      </c>
      <c r="H16" s="472">
        <f>IF(ISNUMBER(((NºAsuntos!G16/NºAsuntos!E16)-Datos!BD16)/Datos!BD16),((NºAsuntos!G16/NºAsuntos!E16)-Datos!BD16)/Datos!BD16," - ")</f>
        <v>-0.20409610375678816</v>
      </c>
      <c r="I16" s="473">
        <f>IF(ISNUMBER(((NºAsuntos!I16/NºAsuntos!G16)-Datos!BE16)/Datos!BE16),((NºAsuntos!I16/NºAsuntos!G16)-Datos!BE16)/Datos!BE16," - ")</f>
        <v>0.80816418099946863</v>
      </c>
      <c r="J16" s="478">
        <f>IF(ISNUMBER((('Resol  Asuntos'!D16/NºAsuntos!G16)-Datos!BF16)/Datos!BF16),(('Resol  Asuntos'!D16/NºAsuntos!G16)-Datos!BF16)/Datos!BF16," - ")</f>
        <v>-0.42373376246329442</v>
      </c>
      <c r="K16" s="479">
        <f>IF(ISNUMBER((((NºAsuntos!C16+NºAsuntos!E16)/NºAsuntos!G16)-Datos!BG16)/Datos!BG16),(((NºAsuntos!C16+NºAsuntos!E16)/NºAsuntos!G16)-Datos!BG16)/Datos!BG16," - ")</f>
        <v>0.26394120869669557</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-3.1042128603104215E-2</v>
      </c>
      <c r="C18" s="473">
        <f>IF(ISNUMBER(
   IF(D_I="SI",(Datos!J18-Datos!T18)/Datos!T18,(Datos!J18+Datos!AD18-(Datos!T18+Datos!AL18))/(Datos!T18+Datos!AL18))
     ),IF(D_I="SI",(Datos!J18-Datos!T18)/Datos!T18,(Datos!J18+Datos!AD18-(Datos!T18+Datos!AL18))/(Datos!T18+Datos!AL18))," - ")</f>
        <v>0.77878787878787881</v>
      </c>
      <c r="D18" s="473">
        <f>IF(ISNUMBER(
   IF(D_I="SI",(Datos!K18-Datos!U18)/Datos!U18,(Datos!K18+Datos!AE18-(Datos!U18+Datos!AM18))/(Datos!U18+Datos!AM18))
     ),IF(D_I="SI",(Datos!K18-Datos!U18)/Datos!U18,(Datos!K18+Datos!AE18-(Datos!U18+Datos!AM18))/(Datos!U18+Datos!AM18))," - ")</f>
        <v>1.0893470790378006</v>
      </c>
      <c r="E18" s="473">
        <f>IF(ISNUMBER(
   IF(D_I="SI",(Datos!L18-Datos!V18)/Datos!V18,(Datos!L18+Datos!AF18-(Datos!V18+Datos!AN18))/(Datos!V18+Datos!AN18))
     ),IF(D_I="SI",(Datos!L18-Datos!V18)/Datos!V18,(Datos!L18+Datos!AF18-(Datos!V18+Datos!AN18))/(Datos!V18+Datos!AN18))," - ")</f>
        <v>0.60617760617760619</v>
      </c>
      <c r="F18" s="473">
        <f>IF(ISNUMBER((Datos!M18-Datos!W18)/Datos!W18),(Datos!M18-Datos!W18)/Datos!W18," - ")</f>
        <v>-0.203125</v>
      </c>
      <c r="G18" s="474">
        <f>IF(ISNUMBER((Datos!N18-Datos!X18)/Datos!X18),(Datos!N18-Datos!X18)/Datos!X18," - ")</f>
        <v>1.9044585987261147</v>
      </c>
      <c r="H18" s="472">
        <f>IF(ISNUMBER(((NºAsuntos!G18/NºAsuntos!E18)-Datos!BD18)/Datos!BD18),((NºAsuntos!G18/NºAsuntos!E18)-Datos!BD18)/Datos!BD18," - ")</f>
        <v>0.17459035107746876</v>
      </c>
      <c r="I18" s="473">
        <f>IF(ISNUMBER(((NºAsuntos!I18/NºAsuntos!G18)-Datos!BE18)/Datos!BE18),((NºAsuntos!I18/NºAsuntos!G18)-Datos!BE18)/Datos!BE18," - ")</f>
        <v>-0.23125381020117855</v>
      </c>
      <c r="J18" s="478">
        <f>IF(ISNUMBER((('Resol  Asuntos'!D18/NºAsuntos!G18)-Datos!BF18)/Datos!BF18),(('Resol  Asuntos'!D18/NºAsuntos!G18)-Datos!BF18)/Datos!BF18," - ")</f>
        <v>-0.61860094572368418</v>
      </c>
      <c r="K18" s="479">
        <f>IF(ISNUMBER((((NºAsuntos!C18+NºAsuntos!E18)/NºAsuntos!G18)-Datos!BG18)/Datos!BG18),(((NºAsuntos!C18+NºAsuntos!E18)/NºAsuntos!G18)-Datos!BG18)/Datos!BG18," - ")</f>
        <v>-0.37246445178246512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0.29666011787819252</v>
      </c>
      <c r="C20" s="1002">
        <f>IF(ISNUMBER(
   IF(Criterios!B14="SI",(Datos!J20-Datos!T20)/Datos!T20,(Datos!J20+Datos!AD20-(Datos!T20+Datos!AL20))/(Datos!T20+Datos!AL20))
     ),IF(Criterios!B14="SI",(Datos!J20-Datos!T20)/Datos!T20,(Datos!J20+Datos!AD20-(Datos!T20+Datos!AL20))/(Datos!T20+Datos!AL20))," - ")</f>
        <v>0.3636946760744067</v>
      </c>
      <c r="D20" s="1002">
        <f>IF(ISNUMBER(
   IF(Criterios!B14="SI",(Datos!K20-Datos!U20)/Datos!U20,(Datos!K20+Datos!AE20-(Datos!U20+Datos!AM20))/(Datos!U20+Datos!AM20))
     ),IF(Criterios!B14="SI",(Datos!K20-Datos!U20)/Datos!U20,(Datos!K20+Datos!AE20-(Datos!U20+Datos!AM20))/(Datos!U20+Datos!AM20))," - ")</f>
        <v>0.12036108324974924</v>
      </c>
      <c r="E20" s="1002">
        <f>IF(ISNUMBER(
   IF(Criterios!B14="SI",(Datos!L20-Datos!V20)/Datos!V20,(Datos!L20+Datos!AF20-(Datos!V20+Datos!AN20))/(Datos!V20+Datos!AN20))
     ),IF(Criterios!B14="SI",(Datos!L20-Datos!V20)/Datos!V20,(Datos!L20+Datos!AF20-(Datos!V20+Datos!AN20))/(Datos!V20+Datos!AN20))," - ")</f>
        <v>0.88547815820543097</v>
      </c>
      <c r="F20" s="1003">
        <f>IF(ISNUMBER((Datos!M20-Datos!W20)/Datos!W20),(Datos!M20-Datos!W20)/Datos!W20," - ")</f>
        <v>-0.36945812807881773</v>
      </c>
      <c r="G20" s="1004">
        <f>IF(ISNUMBER((Datos!N20-Datos!X20)/Datos!X20),(Datos!N20-Datos!X20)/Datos!X20," - ")</f>
        <v>0.36235955056179775</v>
      </c>
      <c r="H20" s="1004">
        <f>IF(ISNUMBER(((NºAsuntos!G20/NºAsuntos!E20)-Datos!BD20)/Datos!BD20),((NºAsuntos!G20/NºAsuntos!E20)-Datos!BD20)/Datos!BD20," - ")</f>
        <v>-0.17843700433379162</v>
      </c>
      <c r="I20" s="1004">
        <f>IF(ISNUMBER(((NºAsuntos!I20/NºAsuntos!G20)-Datos!BE20)/Datos!BE20),((NºAsuntos!I20/NºAsuntos!G20)-Datos!BE20)/Datos!BE20," - ")</f>
        <v>0.68292007496044305</v>
      </c>
      <c r="J20" s="1004">
        <f>IF(ISNUMBER((('Resol  Asuntos'!D20/NºAsuntos!G20)-Datos!BF20)/Datos!BF20),(('Resol  Asuntos'!D20/NºAsuntos!G20)-Datos!BF20)/Datos!BF20," - ")</f>
        <v>-0.43719763088145147</v>
      </c>
      <c r="K20" s="1004">
        <f>IF(ISNUMBER((((NºAsuntos!C20+NºAsuntos!E20)/NºAsuntos!G20)-Datos!BG20)/Datos!BG20),(((NºAsuntos!C20+NºAsuntos!E20)/NºAsuntos!G20)-Datos!BG20)/Datos!BG20," - ")</f>
        <v>0.19355610838805792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0.26198695818948986</v>
      </c>
      <c r="C21" s="949">
        <f>IF(ISNUMBER(
   IF(J_V="SI",(Datos!J21-Datos!T21)/Datos!T21,(Datos!J21+Datos!Z21-(Datos!T21+Datos!AH21))/(Datos!T21+Datos!AH21))
     ),IF(J_V="SI",(Datos!J21-Datos!T21)/Datos!T21,(Datos!J21+Datos!Z21-(Datos!T21+Datos!AH21))/(Datos!T21+Datos!AH21))," - ")</f>
        <v>0.21879656160458452</v>
      </c>
      <c r="D21" s="949">
        <f>IF(ISNUMBER(
   IF(J_V="SI",(Datos!K21-Datos!U21)/Datos!U21,(Datos!K21+Datos!AA21-(Datos!U21+Datos!AI21))/(Datos!U21+Datos!AI21))
     ),IF(J_V="SI",(Datos!K21-Datos!U21)/Datos!U21,(Datos!K21+Datos!AA21-(Datos!U21+Datos!AI21))/(Datos!U21+Datos!AI21))," - ")</f>
        <v>3.7881290606761368E-2</v>
      </c>
      <c r="E21" s="949">
        <f>IF(ISNUMBER(
   IF(J_V="SI",(Datos!L21-Datos!V21)/Datos!V21,(Datos!L21+Datos!AB21-(Datos!V21+Datos!AJ21))/(Datos!V21+Datos!AJ21))
     ),IF(J_V="SI",(Datos!L21-Datos!V21)/Datos!V21,(Datos!L21+Datos!AB21-(Datos!V21+Datos!AJ21))/(Datos!V21+Datos!AJ21))," - ")</f>
        <v>0.54404216951033435</v>
      </c>
      <c r="F21" s="950">
        <f>IF(ISNUMBER((Datos!M21-Datos!W21)/Datos!W21),(Datos!M21-Datos!W21)/Datos!W21," - ")</f>
        <v>-0.13008937437934459</v>
      </c>
      <c r="G21" s="951">
        <f>IF(ISNUMBER((Datos!N21-Datos!X21)/Datos!X21),(Datos!N21-Datos!X21)/Datos!X21," - ")</f>
        <v>0.22935977581375297</v>
      </c>
      <c r="H21" s="952">
        <f>IF(ISNUMBER((Tasas!B21-Datos!BD21)/Datos!BD21),(Tasas!B21-Datos!BD21)/Datos!BD21," - ")</f>
        <v>-0.14843762831070209</v>
      </c>
      <c r="I21" s="953">
        <f>IF(ISNUMBER((Tasas!C21-Datos!BE21)/Datos!BE21),(Tasas!C21-Datos!BE21)/Datos!BE21," - ")</f>
        <v>0.4876866781244929</v>
      </c>
      <c r="J21" s="954">
        <f>IF(ISNUMBER((Tasas!D21-Datos!BF21)/Datos!BF21),(Tasas!D21-Datos!BF21)/Datos!BF21," - ")</f>
        <v>-0.16308660207861814</v>
      </c>
      <c r="K21" s="954">
        <f>IF(ISNUMBER((Tasas!E21-Datos!BG21)/Datos!BG21),(Tasas!E21-Datos!BG21)/Datos!BG21," - ")</f>
        <v>0.19398230349534343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Clwy4t92WdYb1NroOtVgh4NV0oFBvw8UK4nF/XNirRongu0C4emfzkM8O3lUKOV+SIx97fXbo7QwyPTfvGD9A==" saltValue="+SKHeYV2LR+GsxjLPVRG2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NAVARRA</v>
      </c>
    </row>
    <row r="3" spans="1:7" ht="19.5">
      <c r="A3" s="453" t="s">
        <v>12</v>
      </c>
      <c r="B3" s="403" t="str">
        <f>Criterios!A10 &amp;"  "&amp;Criterios!B10</f>
        <v>Provincias  NAVARRA</v>
      </c>
    </row>
    <row r="4" spans="1:7" ht="11.25" customHeight="1" thickBot="1">
      <c r="B4" s="403" t="str">
        <f>Criterios!A11 &amp;"  "&amp;Criterios!B11</f>
        <v>Resumenes por Partidos Judiciales  PAMPLONA-IRUÑA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0.95744081172491546</v>
      </c>
      <c r="C9" s="460">
        <f>IF(ISNUMBER(NºAsuntos!I9/NºAsuntos!G9),NºAsuntos!I9/NºAsuntos!G9," - ")</f>
        <v>1.5731527818663527</v>
      </c>
      <c r="D9" s="461">
        <f>IF(ISNUMBER('Resol  Asuntos'!D9/NºAsuntos!G9),'Resol  Asuntos'!D9/NºAsuntos!G9," - ")</f>
        <v>0.33941713276420371</v>
      </c>
      <c r="E9" s="462">
        <f>IF(ISNUMBER((NºAsuntos!C9+NºAsuntos!E9)/NºAsuntos!G9),(NºAsuntos!C9+NºAsuntos!E9)/NºAsuntos!G9," - ")</f>
        <v>2.5690314983809244</v>
      </c>
      <c r="G9" s="480"/>
    </row>
    <row r="10" spans="1:7">
      <c r="A10" s="414" t="str">
        <f>Datos!A10</f>
        <v>Jdos. Violencia contra la mujer</v>
      </c>
      <c r="B10" s="459">
        <f>IF(ISNUMBER(NºAsuntos!G10/NºAsuntos!E10),NºAsuntos!G10/NºAsuntos!E10," - ")</f>
        <v>0.77380952380952384</v>
      </c>
      <c r="C10" s="460">
        <f>IF(ISNUMBER(NºAsuntos!I10/NºAsuntos!G10),NºAsuntos!I10/NºAsuntos!G10," - ")</f>
        <v>2.3846153846153846</v>
      </c>
      <c r="D10" s="461">
        <f>IF(ISNUMBER('Resol  Asuntos'!D10/NºAsuntos!G10),'Resol  Asuntos'!D10/NºAsuntos!G10," - ")</f>
        <v>0.49230769230769234</v>
      </c>
      <c r="E10" s="462">
        <f>IF(ISNUMBER((NºAsuntos!C10+NºAsuntos!E10)/NºAsuntos!G10),(NºAsuntos!C10+NºAsuntos!E10)/NºAsuntos!G10," - ")</f>
        <v>3.3846153846153846</v>
      </c>
      <c r="G10" s="480"/>
    </row>
    <row r="11" spans="1:7">
      <c r="A11" s="414" t="str">
        <f>Datos!A11</f>
        <v xml:space="preserve">Jdos. Familia                                   </v>
      </c>
      <c r="B11" s="459">
        <f>IF(ISNUMBER(NºAsuntos!G11/NºAsuntos!E11),NºAsuntos!G11/NºAsuntos!E11," - ")</f>
        <v>0.60576923076923073</v>
      </c>
      <c r="C11" s="460">
        <f>IF(ISNUMBER(NºAsuntos!I11/NºAsuntos!G11),NºAsuntos!I11/NºAsuntos!G11," - ")</f>
        <v>2.2248677248677247</v>
      </c>
      <c r="D11" s="461">
        <f>IF(ISNUMBER('Resol  Asuntos'!D11/NºAsuntos!G11),'Resol  Asuntos'!D11/NºAsuntos!G11," - ")</f>
        <v>0.48412698412698413</v>
      </c>
      <c r="E11" s="462">
        <f>IF(ISNUMBER((NºAsuntos!C11+NºAsuntos!E11)/NºAsuntos!G11),(NºAsuntos!C11+NºAsuntos!E11)/NºAsuntos!G11," - ")</f>
        <v>3.2248677248677247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0.90225563909774431</v>
      </c>
      <c r="C14" s="1006">
        <f>IF(ISNUMBER(NºAsuntos!I14/NºAsuntos!G14),NºAsuntos!I14/NºAsuntos!G14," - ")</f>
        <v>1.6510416666666667</v>
      </c>
      <c r="D14" s="1007">
        <f>IF(ISNUMBER('Resol  Asuntos'!D14/NºAsuntos!G14),'Resol  Asuntos'!D14/NºAsuntos!G14," - ")</f>
        <v>0.35625000000000001</v>
      </c>
      <c r="E14" s="1008">
        <f>IF(ISNUMBER((NºAsuntos!C14+NºAsuntos!E14)/NºAsuntos!G14),(NºAsuntos!C14+NºAsuntos!E14)/NºAsuntos!G14," - ")</f>
        <v>2.6473958333333334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0.85943705750302191</v>
      </c>
      <c r="C16" s="460">
        <f>IF(ISNUMBER(NºAsuntos!I16/NºAsuntos!G16),NºAsuntos!I16/NºAsuntos!G16," - ")</f>
        <v>0.8790436005625879</v>
      </c>
      <c r="D16" s="461">
        <f>IF(ISNUMBER('Resol  Asuntos'!D16/NºAsuntos!G16),'Resol  Asuntos'!D16/NºAsuntos!G16," - ")</f>
        <v>6.6907775768535266E-2</v>
      </c>
      <c r="E16" s="462">
        <f>IF(ISNUMBER((NºAsuntos!C16+NºAsuntos!E16)/NºAsuntos!G16),(NºAsuntos!C16+NºAsuntos!E16)/NºAsuntos!G16," - ")</f>
        <v>1.8714084790034158</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1.0357751277683134</v>
      </c>
      <c r="C18" s="460">
        <f>IF(ISNUMBER(NºAsuntos!I18/NºAsuntos!G18),NºAsuntos!I18/NºAsuntos!G18," - ")</f>
        <v>0.68421052631578949</v>
      </c>
      <c r="D18" s="461">
        <f>IF(ISNUMBER('Resol  Asuntos'!D18/NºAsuntos!G18),'Resol  Asuntos'!D18/NºAsuntos!G18," - ")</f>
        <v>8.3881578947368418E-2</v>
      </c>
      <c r="E18" s="462">
        <f>IF(ISNUMBER((NºAsuntos!C18+NºAsuntos!E18)/NºAsuntos!G18),(NºAsuntos!C18+NºAsuntos!E18)/NºAsuntos!G18," - ")</f>
        <v>1.6842105263157894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0.87566635308874252</v>
      </c>
      <c r="C20" s="1006">
        <f>IF(ISNUMBER(NºAsuntos!I20/NºAsuntos!G20),NºAsuntos!I20/NºAsuntos!G20," - ")</f>
        <v>0.85783348254252467</v>
      </c>
      <c r="D20" s="1009">
        <f>IF(ISNUMBER('Resol  Asuntos'!D20/NºAsuntos!G20),'Resol  Asuntos'!D20/NºAsuntos!G20," - ")</f>
        <v>6.8755595344673237E-2</v>
      </c>
      <c r="E20" s="1008">
        <f>IF(ISNUMBER((NºAsuntos!C20+NºAsuntos!E20)/NºAsuntos!G20),(NºAsuntos!C20+NºAsuntos!E20)/NºAsuntos!G20," - ")</f>
        <v>1.8510295434198747</v>
      </c>
      <c r="G20" s="480"/>
    </row>
    <row r="21" spans="1:7" ht="15.75" customHeight="1" thickTop="1" thickBot="1">
      <c r="A21" s="940" t="str">
        <f>Datos!A21</f>
        <v>TOTAL JURISDICCIONES</v>
      </c>
      <c r="B21" s="955">
        <f>IF(ISNUMBER(NºAsuntos!G21/NºAsuntos!E21),NºAsuntos!G21/NºAsuntos!E21," - ")</f>
        <v>0.88630806845965771</v>
      </c>
      <c r="C21" s="956">
        <f>IF(ISNUMBER(NºAsuntos!I21/NºAsuntos!G21),NºAsuntos!I21/NºAsuntos!G21," - ")</f>
        <v>1.1810079575596817</v>
      </c>
      <c r="D21" s="957">
        <f>IF(ISNUMBER('Resol  Asuntos'!D21/NºAsuntos!G21),'Resol  Asuntos'!D21/NºAsuntos!G21," - ")</f>
        <v>0.18588859416445624</v>
      </c>
      <c r="E21" s="958">
        <f>IF(ISNUMBER((NºAsuntos!C21+NºAsuntos!E21)/NºAsuntos!G21),(NºAsuntos!C21+NºAsuntos!E21)/NºAsuntos!G21," - ")</f>
        <v>2.1754907161803714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rglPgzoCD9ulbrKVz9eBRS/cMczzVUX+xHs8UrNpyXAOIqO1kBuN+HIKygy3bk1tPSo7uNjabot0wIUy4VE3Q==" saltValue="iU2LMbrvTHpn4lCWVMk3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NAVARRA</v>
      </c>
      <c r="G2" s="340"/>
      <c r="H2" s="339"/>
      <c r="I2" s="339"/>
      <c r="J2" s="339"/>
      <c r="K2" s="339"/>
      <c r="L2" s="339" t="str">
        <f>Criterios!A10 &amp;"  "&amp;Criterios!B10</f>
        <v>Provincias  NAVARRA</v>
      </c>
      <c r="N2" s="339" t="str">
        <f>Criterios!A11 &amp;"  "&amp;Criterios!B11</f>
        <v>Resumenes por Partidos Judiciales  PAMPLONA-IRUÑA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707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878</v>
      </c>
      <c r="Y9" s="344">
        <f>SUM(W9:X9)</f>
        <v>878</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9319</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1153</v>
      </c>
      <c r="AJ9" s="234" t="str">
        <f>IF(ISNUMBER(Datos!BW9),Datos!BW9," - ")</f>
        <v xml:space="preserve"> - </v>
      </c>
      <c r="AK9" s="233" t="str">
        <f>IF(ISNUMBER(Datos!BX9),Datos!BX9," - ")</f>
        <v xml:space="preserve"> - </v>
      </c>
      <c r="AL9" s="248">
        <f>IF(ISNUMBER(NºAsuntos!G9/NºAsuntos!E9),NºAsuntos!G9/NºAsuntos!E9," - ")</f>
        <v>0.95744081172491546</v>
      </c>
      <c r="AM9" s="265">
        <f>IF(ISNUMBER(((NºAsuntos!I9/NºAsuntos!G9)*11)/factor_trimestre),((NºAsuntos!I9/NºAsuntos!G9)*11)/factor_trimestre," - ")</f>
        <v>4.7194583455990573</v>
      </c>
      <c r="AN9" s="249">
        <f>IF(ISNUMBER('Resol  Asuntos'!D9/NºAsuntos!G9),'Resol  Asuntos'!D9/NºAsuntos!G9," - ")</f>
        <v>0.33941713276420371</v>
      </c>
      <c r="AO9" s="250">
        <f>IF(ISNUMBER((NºAsuntos!C9+NºAsuntos!E9)/NºAsuntos!G9),(NºAsuntos!C9+NºAsuntos!E9)/NºAsuntos!G9," - ")</f>
        <v>2.5690314983809244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136</v>
      </c>
      <c r="G10" s="343">
        <f>IF(ISNUMBER(Datos!I10),Datos!I10," - ")</f>
        <v>136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65</v>
      </c>
      <c r="X10" s="231">
        <f>IF(ISNUMBER(Datos!Q10),Datos!Q10," - ")</f>
        <v>24</v>
      </c>
      <c r="Y10" s="344">
        <f t="shared" ref="Y10:Y13" si="0">SUM(W10:X10)</f>
        <v>89</v>
      </c>
      <c r="Z10" s="345" t="str">
        <f>IF(ISNUMBER(Datos!CC10),Datos!CC10," - ")</f>
        <v xml:space="preserve"> - </v>
      </c>
      <c r="AA10" s="342">
        <f>IF(ISNUMBER(Datos!L10),Datos!L10,"-")</f>
        <v>155</v>
      </c>
      <c r="AB10" s="344">
        <f>IF(ISNUMBER(Datos!R10),Datos!R10," - ")</f>
        <v>166</v>
      </c>
      <c r="AC10" s="344">
        <f t="shared" ref="AC10:AC13" si="1">IF(ISNUMBER(AA10+AB10),AA10+AB10," - ")</f>
        <v>321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32</v>
      </c>
      <c r="AJ10" s="236" t="str">
        <f>IF(ISNUMBER(Datos!BW10),Datos!BW10," - ")</f>
        <v xml:space="preserve"> - </v>
      </c>
      <c r="AK10" s="237" t="str">
        <f>IF(ISNUMBER(Datos!BX10),Datos!BX10," - ")</f>
        <v xml:space="preserve"> - </v>
      </c>
      <c r="AL10" s="248">
        <f>IF(ISNUMBER(NºAsuntos!G10/NºAsuntos!E10),NºAsuntos!G10/NºAsuntos!E10," - ")</f>
        <v>0.77380952380952384</v>
      </c>
      <c r="AM10" s="265">
        <f>IF(ISNUMBER(((NºAsuntos!I10/NºAsuntos!G10)*11)/factor_trimestre),((NºAsuntos!I10/NºAsuntos!G10)*11)/factor_trimestre," - ")</f>
        <v>7.1538461538461542</v>
      </c>
      <c r="AN10" s="249">
        <f>IF(ISNUMBER('Resol  Asuntos'!D10/NºAsuntos!G10),'Resol  Asuntos'!D10/NºAsuntos!G10," - ")</f>
        <v>0.49230769230769234</v>
      </c>
      <c r="AO10" s="250">
        <f>IF(ISNUMBER((NºAsuntos!C10+NºAsuntos!E10)/NºAsuntos!G10),(NºAsuntos!C10+NºAsuntos!E10)/NºAsuntos!G10," - ")</f>
        <v>3.3846153846153846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90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66</v>
      </c>
      <c r="Y11" s="344">
        <f t="shared" si="0"/>
        <v>66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685</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183</v>
      </c>
      <c r="AJ11" s="236" t="str">
        <f>IF(ISNUMBER(Datos!BW11),Datos!BW11," - ")</f>
        <v xml:space="preserve"> - </v>
      </c>
      <c r="AK11" s="237" t="str">
        <f>IF(ISNUMBER(Datos!BX11),Datos!BX11," - ")</f>
        <v xml:space="preserve"> - </v>
      </c>
      <c r="AL11" s="248">
        <f>IF(ISNUMBER(NºAsuntos!G11/NºAsuntos!E11),NºAsuntos!G11/NºAsuntos!E11," - ")</f>
        <v>0.60576923076923073</v>
      </c>
      <c r="AM11" s="265">
        <f>IF(ISNUMBER(((NºAsuntos!I11/NºAsuntos!G11)*11)/factor_trimestre),((NºAsuntos!I11/NºAsuntos!G11)*11)/factor_trimestre," - ")</f>
        <v>6.674603174603174</v>
      </c>
      <c r="AN11" s="249">
        <f>IF(ISNUMBER('Resol  Asuntos'!D11/NºAsuntos!G11),'Resol  Asuntos'!D11/NºAsuntos!G11," - ")</f>
        <v>0.48412698412698413</v>
      </c>
      <c r="AO11" s="250">
        <f>IF(ISNUMBER((NºAsuntos!C11+NºAsuntos!E11)/NºAsuntos!G11),(NºAsuntos!C11+NºAsuntos!E11)/NºAsuntos!G11," - ")</f>
        <v>3.2248677248677247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11</v>
      </c>
      <c r="F14" s="1012">
        <f t="shared" si="5"/>
        <v>136</v>
      </c>
      <c r="G14" s="1013">
        <f t="shared" si="5"/>
        <v>136</v>
      </c>
      <c r="H14" s="1012">
        <f t="shared" si="5"/>
        <v>0</v>
      </c>
      <c r="I14" s="1014">
        <f t="shared" si="5"/>
        <v>0</v>
      </c>
      <c r="J14" s="1014">
        <f t="shared" si="5"/>
        <v>0</v>
      </c>
      <c r="K14" s="1014">
        <f t="shared" si="5"/>
        <v>0</v>
      </c>
      <c r="L14" s="1014">
        <f t="shared" si="5"/>
        <v>829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65</v>
      </c>
      <c r="X14" s="1014">
        <f t="shared" si="6"/>
        <v>968</v>
      </c>
      <c r="Y14" s="1015">
        <f t="shared" si="6"/>
        <v>1033</v>
      </c>
      <c r="Z14" s="1015">
        <f t="shared" si="6"/>
        <v>0</v>
      </c>
      <c r="AA14" s="1015">
        <f t="shared" si="6"/>
        <v>155</v>
      </c>
      <c r="AB14" s="1015">
        <f t="shared" si="6"/>
        <v>10170</v>
      </c>
      <c r="AC14" s="1015">
        <f t="shared" si="6"/>
        <v>321</v>
      </c>
      <c r="AD14" s="1015">
        <f t="shared" si="6"/>
        <v>0</v>
      </c>
      <c r="AE14" s="1019">
        <f t="shared" si="6"/>
        <v>0</v>
      </c>
      <c r="AF14" s="1012">
        <f t="shared" si="6"/>
        <v>0</v>
      </c>
      <c r="AG14" s="1020">
        <f t="shared" si="6"/>
        <v>0</v>
      </c>
      <c r="AH14" s="1017">
        <f t="shared" si="6"/>
        <v>0</v>
      </c>
      <c r="AI14" s="1012">
        <f t="shared" si="6"/>
        <v>1368</v>
      </c>
      <c r="AJ14" s="1014">
        <f t="shared" si="6"/>
        <v>0</v>
      </c>
      <c r="AK14" s="1017">
        <f>SUBTOTAL(9,AK9:AK13)</f>
        <v>0</v>
      </c>
      <c r="AL14" s="1021">
        <f>IF(ISNUMBER(NºAsuntos!G14/NºAsuntos!E14),NºAsuntos!G14/NºAsuntos!E14," - ")</f>
        <v>0.90225563909774431</v>
      </c>
      <c r="AM14" s="1021">
        <f>IF(ISNUMBER(((NºAsuntos!I14/NºAsuntos!G14)*11)/factor_trimestre),((NºAsuntos!I14/NºAsuntos!G14)*11)/factor_trimestre," - ")</f>
        <v>4.9531250000000009</v>
      </c>
      <c r="AN14" s="1022">
        <f>IF(ISNUMBER('Resol  Asuntos'!D14/NºAsuntos!G14),'Resol  Asuntos'!D14/NºAsuntos!G14," - ")</f>
        <v>0.35625000000000001</v>
      </c>
      <c r="AO14" s="1023">
        <f>IF(ISNUMBER((NºAsuntos!C14+NºAsuntos!E14)/NºAsuntos!G14),(NºAsuntos!C14+NºAsuntos!E14)/NºAsuntos!G14," - ")</f>
        <v>2.6473958333333334</v>
      </c>
      <c r="AP14" s="1024" t="str">
        <f t="shared" si="2"/>
        <v xml:space="preserve"> - </v>
      </c>
      <c r="AQ14" s="1024">
        <f>IF(ISNUMBER((H14-W14+K14)/(F14)),(H14-W14+K14)/(F14)," - ")</f>
        <v>-0.47794117647058826</v>
      </c>
      <c r="AR14" s="1025">
        <f>IF(ISNUMBER((Datos!P14-Datos!Q14)/(Datos!R14-Datos!P14+Datos!Q14)),(Datos!P14-Datos!Q14)/(Datos!R14-Datos!P14+Datos!Q14)," - ")</f>
        <v>-1.3483364050829373E-2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3561</v>
      </c>
      <c r="G16" s="343">
        <f>IF(ISNUMBER(IF(D_I="SI",Datos!I16,Datos!I16+Datos!AC16)),IF(D_I="SI",Datos!I16,Datos!I16+Datos!AC16)," - ")</f>
        <v>3523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108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4977</v>
      </c>
      <c r="X16" s="231">
        <f>IF(ISNUMBER(Datos!Q16),Datos!Q16," - ")</f>
        <v>117</v>
      </c>
      <c r="Y16" s="344">
        <f>SUM(W16)</f>
        <v>4977</v>
      </c>
      <c r="Z16" s="345" t="str">
        <f>IF(ISNUMBER(Datos!CC16),Datos!CC16," - ")</f>
        <v xml:space="preserve"> - </v>
      </c>
      <c r="AA16" s="342">
        <f>IF(ISNUMBER(IF(D_I="SI",Datos!L16,Datos!L16+Datos!AF16)),IF(D_I="SI",Datos!L16,Datos!L16+Datos!AF16)," - ")</f>
        <v>4375</v>
      </c>
      <c r="AB16" s="344">
        <f>IF(ISNUMBER(Datos!R16),Datos!R16," - ")</f>
        <v>423</v>
      </c>
      <c r="AC16" s="344">
        <f t="shared" ref="AC16:AC19" si="8">IF(ISNUMBER(AA16+AB16),AA16+AB16," - ")</f>
        <v>4798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333</v>
      </c>
      <c r="AJ16" s="236" t="str">
        <f>IF(ISNUMBER(Datos!BW16),Datos!BW16," - ")</f>
        <v xml:space="preserve"> - </v>
      </c>
      <c r="AK16" s="237" t="str">
        <f>IF(ISNUMBER(Datos!BX16),Datos!BX16," - ")</f>
        <v xml:space="preserve"> - </v>
      </c>
      <c r="AL16" s="248">
        <f>IF(ISNUMBER(NºAsuntos!G16/NºAsuntos!E16),NºAsuntos!G16/NºAsuntos!E16," - ")</f>
        <v>0.85943705750302191</v>
      </c>
      <c r="AM16" s="265">
        <f>IF(ISNUMBER(((NºAsuntos!I16/NºAsuntos!G16)*11)/factor_trimestre),((NºAsuntos!I16/NºAsuntos!G16)*11)/factor_trimestre," - ")</f>
        <v>2.6371308016877641</v>
      </c>
      <c r="AN16" s="249">
        <f>IF(ISNUMBER('Resol  Asuntos'!D16/NºAsuntos!G16),'Resol  Asuntos'!D16/NºAsuntos!G16," - ")</f>
        <v>6.6907775768535266E-2</v>
      </c>
      <c r="AO16" s="250">
        <f>IF(ISNUMBER((NºAsuntos!C16+NºAsuntos!E16)/NºAsuntos!G16),(NºAsuntos!C16+NºAsuntos!E16)/NºAsuntos!G16," - ")</f>
        <v>1.8714084790034158</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437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608</v>
      </c>
      <c r="X18" s="231">
        <f>IF(ISNUMBER(Datos!Q18),Datos!Q18," - ")</f>
        <v>2</v>
      </c>
      <c r="Y18" s="344">
        <f t="shared" si="9"/>
        <v>610</v>
      </c>
      <c r="Z18" s="345" t="str">
        <f>IF(ISNUMBER(Datos!CC18),Datos!CC18," - ")</f>
        <v xml:space="preserve"> - </v>
      </c>
      <c r="AA18" s="342">
        <f>IF(ISNUMBER(Datos!L18),Datos!L18,"-")</f>
        <v>416</v>
      </c>
      <c r="AB18" s="344">
        <f>IF(ISNUMBER(Datos!R18),Datos!R18," - ")</f>
        <v>8</v>
      </c>
      <c r="AC18" s="344">
        <f t="shared" si="8"/>
        <v>424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51</v>
      </c>
      <c r="AJ18" s="236" t="str">
        <f>IF(ISNUMBER(Datos!BW18),Datos!BW18," - ")</f>
        <v xml:space="preserve"> - </v>
      </c>
      <c r="AK18" s="237" t="str">
        <f>IF(ISNUMBER(Datos!BX18),Datos!BX18," - ")</f>
        <v xml:space="preserve"> - </v>
      </c>
      <c r="AL18" s="248">
        <f>IF(ISNUMBER(NºAsuntos!G18/NºAsuntos!E18),NºAsuntos!G18/NºAsuntos!E18," - ")</f>
        <v>1.0357751277683134</v>
      </c>
      <c r="AM18" s="265">
        <f>IF(ISNUMBER(((NºAsuntos!I18/NºAsuntos!G18)*11)/factor_trimestre),((NºAsuntos!I18/NºAsuntos!G18)*11)/factor_trimestre," - ")</f>
        <v>2.0526315789473686</v>
      </c>
      <c r="AN18" s="249">
        <f>IF(ISNUMBER('Resol  Asuntos'!D18/NºAsuntos!G18),'Resol  Asuntos'!D18/NºAsuntos!G18," - ")</f>
        <v>8.3881578947368418E-2</v>
      </c>
      <c r="AO18" s="250">
        <f>IF(ISNUMBER((NºAsuntos!C18+NºAsuntos!E18)/NºAsuntos!G18),(NºAsuntos!C18+NºAsuntos!E18)/NºAsuntos!G18," - ")</f>
        <v>1.6842105263157894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3561</v>
      </c>
      <c r="G20" s="1013">
        <f>SUBTOTAL(9,G16:G19)</f>
        <v>3960</v>
      </c>
      <c r="H20" s="1012">
        <f t="shared" ref="H20:O20" si="12">SUBTOTAL(9,H15:H19)</f>
        <v>0</v>
      </c>
      <c r="I20" s="1014">
        <f t="shared" si="12"/>
        <v>0</v>
      </c>
      <c r="J20" s="1014">
        <f t="shared" si="12"/>
        <v>0</v>
      </c>
      <c r="K20" s="1014">
        <f t="shared" si="12"/>
        <v>0</v>
      </c>
      <c r="L20" s="1014">
        <f t="shared" si="12"/>
        <v>112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5585</v>
      </c>
      <c r="X20" s="1014">
        <f t="shared" si="13"/>
        <v>119</v>
      </c>
      <c r="Y20" s="1015">
        <f t="shared" si="13"/>
        <v>5587</v>
      </c>
      <c r="Z20" s="1015">
        <f t="shared" si="13"/>
        <v>0</v>
      </c>
      <c r="AA20" s="1015">
        <f t="shared" si="13"/>
        <v>4791</v>
      </c>
      <c r="AB20" s="1015">
        <f t="shared" si="13"/>
        <v>431</v>
      </c>
      <c r="AC20" s="1015">
        <f t="shared" si="13"/>
        <v>5222</v>
      </c>
      <c r="AD20" s="1015">
        <f t="shared" si="13"/>
        <v>0</v>
      </c>
      <c r="AE20" s="1019">
        <f t="shared" si="13"/>
        <v>0</v>
      </c>
      <c r="AF20" s="1012">
        <f t="shared" si="13"/>
        <v>0</v>
      </c>
      <c r="AG20" s="1020">
        <f t="shared" si="13"/>
        <v>0</v>
      </c>
      <c r="AH20" s="1017">
        <f t="shared" si="13"/>
        <v>0</v>
      </c>
      <c r="AI20" s="1012">
        <f t="shared" si="13"/>
        <v>384</v>
      </c>
      <c r="AJ20" s="1014">
        <f t="shared" si="13"/>
        <v>0</v>
      </c>
      <c r="AK20" s="1017">
        <f t="shared" si="13"/>
        <v>0</v>
      </c>
      <c r="AL20" s="1021">
        <f>IF(ISNUMBER(NºAsuntos!G20/NºAsuntos!E20),NºAsuntos!G20/NºAsuntos!E20," - ")</f>
        <v>0.87566635308874252</v>
      </c>
      <c r="AM20" s="1021">
        <f>IF(ISNUMBER(((NºAsuntos!I20/NºAsuntos!G20)*11)/factor_trimestre),((NºAsuntos!I20/NºAsuntos!G20)*11)/factor_trimestre," - ")</f>
        <v>2.5735004476275738</v>
      </c>
      <c r="AN20" s="1022">
        <f>IF(ISNUMBER('Resol  Asuntos'!D20/NºAsuntos!G20),'Resol  Asuntos'!D20/NºAsuntos!G20," - ")</f>
        <v>6.8755595344673237E-2</v>
      </c>
      <c r="AO20" s="1023">
        <f>IF(ISNUMBER((NºAsuntos!C20+NºAsuntos!E20)/NºAsuntos!G20),(NºAsuntos!C20+NºAsuntos!E20)/NºAsuntos!G20," - ")</f>
        <v>1.8510295434198747</v>
      </c>
      <c r="AP20" s="1024" t="str">
        <f t="shared" si="2"/>
        <v xml:space="preserve"> - </v>
      </c>
      <c r="AQ20" s="1024">
        <f>IF(ISNUMBER((H20-W20+K20)/(F20)),(H20-W20+K20)/(F20)," - ")</f>
        <v>-1.5683796686324065</v>
      </c>
      <c r="AR20" s="1025">
        <f>IF(ISNUMBER((Datos!P20-Datos!Q20)/(Datos!R20-Datos!P20+Datos!Q20)),(Datos!P20-Datos!Q20)/(Datos!R20-Datos!P20+Datos!Q20)," - ")</f>
        <v>-1.5981735159817351E-2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17</v>
      </c>
      <c r="F21" s="967">
        <f t="shared" si="15"/>
        <v>3697</v>
      </c>
      <c r="G21" s="968">
        <f t="shared" si="15"/>
        <v>4096</v>
      </c>
      <c r="H21" s="967">
        <f t="shared" si="15"/>
        <v>0</v>
      </c>
      <c r="I21" s="969">
        <f t="shared" si="15"/>
        <v>0</v>
      </c>
      <c r="J21" s="969">
        <f t="shared" si="15"/>
        <v>0</v>
      </c>
      <c r="K21" s="1028">
        <f t="shared" si="15"/>
        <v>0</v>
      </c>
      <c r="L21" s="969">
        <f t="shared" si="15"/>
        <v>941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5650</v>
      </c>
      <c r="X21" s="968">
        <f t="shared" si="16"/>
        <v>1087</v>
      </c>
      <c r="Y21" s="975">
        <f t="shared" si="16"/>
        <v>6620</v>
      </c>
      <c r="Z21" s="975">
        <f t="shared" si="16"/>
        <v>0</v>
      </c>
      <c r="AA21" s="975">
        <f t="shared" si="16"/>
        <v>4946</v>
      </c>
      <c r="AB21" s="975">
        <f t="shared" si="16"/>
        <v>10601</v>
      </c>
      <c r="AC21" s="975">
        <f t="shared" si="16"/>
        <v>5543</v>
      </c>
      <c r="AD21" s="975">
        <f t="shared" si="16"/>
        <v>0</v>
      </c>
      <c r="AE21" s="977">
        <f t="shared" si="16"/>
        <v>0</v>
      </c>
      <c r="AF21" s="978">
        <f t="shared" si="16"/>
        <v>0</v>
      </c>
      <c r="AG21" s="979">
        <f t="shared" si="16"/>
        <v>0</v>
      </c>
      <c r="AH21" s="977">
        <f t="shared" si="16"/>
        <v>0</v>
      </c>
      <c r="AI21" s="967">
        <f t="shared" si="16"/>
        <v>1752</v>
      </c>
      <c r="AJ21" s="967">
        <f t="shared" si="16"/>
        <v>0</v>
      </c>
      <c r="AK21" s="977">
        <f t="shared" si="16"/>
        <v>0</v>
      </c>
      <c r="AL21" s="1031">
        <f>IF(ISNUMBER(NºAsuntos!G21/NºAsuntos!E21),NºAsuntos!G21/NºAsuntos!E21," - ")</f>
        <v>0.88630806845965771</v>
      </c>
      <c r="AM21" s="1032">
        <f>IF(ISNUMBER(((NºAsuntos!I21/NºAsuntos!G21)*11)/factor_trimestre),((NºAsuntos!I21/NºAsuntos!G21)*11)/factor_trimestre," - ")</f>
        <v>3.5430238726790453</v>
      </c>
      <c r="AN21" s="1032">
        <f>IF(ISNUMBER('Resol  Asuntos'!D21/NºAsuntos!G21),'Resol  Asuntos'!D21/NºAsuntos!G21," - ")</f>
        <v>0.18588859416445624</v>
      </c>
      <c r="AO21" s="1033">
        <f>IF(ISNUMBER((NºAsuntos!C21+NºAsuntos!E21)/NºAsuntos!G21),(NºAsuntos!C21+NºAsuntos!E21)/NºAsuntos!G21," - ")</f>
        <v>2.1754907161803714</v>
      </c>
      <c r="AP21" s="1034" t="str">
        <f t="shared" si="2"/>
        <v xml:space="preserve"> - </v>
      </c>
      <c r="AQ21" s="1035">
        <f>IF(OR(ISNUMBER(FIND("01",Criterios!A8,1)),ISNUMBER(FIND("02",Criterios!A8,1)),ISNUMBER(FIND("03",Criterios!A8,1)),ISNUMBER(FIND("04",Criterios!A8,1))),(I21-W21+K21)/(F21-K21),(H21-W21+K21)/(F21-K21))</f>
        <v>-1.5282661617527724</v>
      </c>
      <c r="AR21" s="1036">
        <f>IF(ISNUMBER((Datos!P21-Datos!Q21)/(Datos!R21-Datos!P21+Datos!Q21)),(Datos!P21-Datos!Q21)/(Datos!R21-Datos!P21+Datos!Q21)," - ")</f>
        <v>-1.3585186563692193E-2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1638.4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3.832872172524032</v>
      </c>
      <c r="F23" s="257">
        <f>IF(ISNUMBER(STDEV(F8:F20)),STDEV(F8:F20),"-")</f>
        <v>1977.4246719744683</v>
      </c>
      <c r="G23" s="258">
        <f>IF(ISNUMBER(STDEV(G8:G20)),STDEV(G8:G20),"-")</f>
        <v>1929.9816838509116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2775.0165765270663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538.87068861427144</v>
      </c>
      <c r="AJ23" s="257">
        <f t="shared" si="20"/>
        <v>0</v>
      </c>
      <c r="AK23" s="259">
        <f t="shared" si="20"/>
        <v>0</v>
      </c>
      <c r="AL23" s="254">
        <f t="shared" si="20"/>
        <v>0.13812502203738566</v>
      </c>
      <c r="AM23" s="255">
        <f t="shared" si="20"/>
        <v>2.0461041825306485</v>
      </c>
      <c r="AN23" s="255">
        <f t="shared" si="20"/>
        <v>0.1931813989548353</v>
      </c>
      <c r="AO23" s="256">
        <f t="shared" si="20"/>
        <v>0.68386805287440167</v>
      </c>
      <c r="AP23" s="296" t="str">
        <f t="shared" si="20"/>
        <v>-</v>
      </c>
      <c r="AQ23" s="297">
        <f t="shared" si="20"/>
        <v>0.77105645227445541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hltzeYwlNAGnomHolkobrYph4X+SO9dXOkVw4Gp5pgB3sCe3Wao4x0n5Em7qMR0Q7rUjeKPCkKWW4DYCWv+xQ==" saltValue="zI/tiRuvQffH/Li4oC/X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NAVARRA</v>
      </c>
      <c r="E2" s="268"/>
    </row>
    <row r="3" spans="2:20" ht="17.25" customHeight="1">
      <c r="C3" s="272"/>
      <c r="D3" s="267" t="str">
        <f>Criterios!A10 &amp;"  "&amp;Criterios!B10</f>
        <v>Provincias  NAVARRA</v>
      </c>
      <c r="E3" s="268"/>
    </row>
    <row r="4" spans="2:20" ht="17.25" customHeight="1" thickBot="1">
      <c r="D4" s="267" t="str">
        <f>Criterios!A11 &amp;"  "&amp;Criterios!B11</f>
        <v>Resumenes por Partidos Judiciales  PAMPLONA-IRUÑA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8.7735849056603768E-2</v>
      </c>
      <c r="I9" s="360">
        <f>IF(ISNUMBER((Tasas!C9-Datos!BE9)/Datos!BE9),(Tasas!C9-Datos!BE9)/Datos!BE9," - ")</f>
        <v>0.35904569885007676</v>
      </c>
      <c r="J9" s="359">
        <f>IF(ISNUMBER((Tasas!D9-Datos!BF9)/Datos!BF9),(Tasas!D9-Datos!BF9)/Datos!BF9," - ")</f>
        <v>-4.1481551058983906E-2</v>
      </c>
      <c r="K9" s="361">
        <f>IF(ISNUMBER((Tasas!E9-Datos!BG9)/Datos!BG9),(Tasas!E9-Datos!BG9)/Datos!BG9," - ")</f>
        <v>0.18258098732440931</v>
      </c>
      <c r="M9" t="e">
        <f>IF(Monitorios="SI",Datos!CE9,0)</f>
        <v>#REF!</v>
      </c>
      <c r="N9" t="e">
        <f>IF(Monitorios="SI",Datos!CF9,0)</f>
        <v>#REF!</v>
      </c>
      <c r="O9" t="e">
        <f>IF(Monitorios="SI",Datos!CG9,0)</f>
        <v>#REF!</v>
      </c>
      <c r="P9" t="e">
        <f>IF(Monitorios="SI",Datos!CH9,0)</f>
        <v>#REF!</v>
      </c>
      <c r="Q9">
        <f>IF(J_V="SI",0,Datos!AG9)</f>
        <v>231</v>
      </c>
      <c r="R9">
        <f>IF(J_V="SI",0,Datos!AH9)</f>
        <v>353</v>
      </c>
      <c r="S9">
        <f>IF(J_V="SI",0,Datos!AI9)</f>
        <v>381</v>
      </c>
      <c r="T9">
        <f>IF(J_V="SI",0,Datos!AJ9)</f>
        <v>203</v>
      </c>
    </row>
    <row r="10" spans="2:20" ht="14.25">
      <c r="B10" s="280" t="s">
        <v>273</v>
      </c>
      <c r="C10" s="7" t="str">
        <f>Datos!A10</f>
        <v>Jdos. Violencia contra la mujer</v>
      </c>
      <c r="D10" s="362">
        <f>IF(ISNUMBER((Datos!I10-Datos!S10)/Datos!S10),(Datos!I10-Datos!S10)/Datos!S10," - ")</f>
        <v>-4.2253521126760563E-2</v>
      </c>
      <c r="E10" s="358">
        <f>IF(ISNUMBER((Datos!J10-Datos!T10)/Datos!T10),(Datos!J10-Datos!T10)/Datos!T10," - ")</f>
        <v>0.12</v>
      </c>
      <c r="F10" s="358">
        <f>IF(ISNUMBER((Datos!K10-Datos!U10)/Datos!U10),(Datos!K10-Datos!U10)/Datos!U10," - ")</f>
        <v>-0.25287356321839083</v>
      </c>
      <c r="G10" s="359">
        <f>IF(ISNUMBER((Datos!L10-Datos!V10)/Datos!V10),(Datos!L10-Datos!V10)/Datos!V10," - ")</f>
        <v>0.19230769230769232</v>
      </c>
      <c r="H10" s="235">
        <f>IF(ISNUMBER((Datos!M10-Datos!W10)/Datos!W10),(Datos!M10-Datos!W10)/Datos!W10," - ")</f>
        <v>6.6666666666666666E-2</v>
      </c>
      <c r="I10" s="360">
        <f>IF(ISNUMBER((Tasas!C10-Datos!BE10)/Datos!BE10),(Tasas!C10-Datos!BE10)/Datos!BE10," - ")</f>
        <v>0.59585798816568047</v>
      </c>
      <c r="J10" s="359">
        <f>IF(ISNUMBER((Tasas!D10-Datos!BF10)/Datos!BF10),(Tasas!D10-Datos!BF10)/Datos!BF10," - ")</f>
        <v>0.42769230769230765</v>
      </c>
      <c r="K10" s="361">
        <f>IF(ISNUMBER((Tasas!E10-Datos!BG10)/Datos!BG10),(Tasas!E10-Datos!BG10)/Datos!BG10," - ")</f>
        <v>0.35696561503013108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-0.41904761904761906</v>
      </c>
      <c r="I11" s="360">
        <f>IF(ISNUMBER((Tasas!C11-Datos!BE11)/Datos!BE11),(Tasas!C11-Datos!BE11)/Datos!BE11," - ")</f>
        <v>1.2722894170496299</v>
      </c>
      <c r="J11" s="359">
        <f>IF(ISNUMBER((Tasas!D11-Datos!BF11)/Datos!BF11),(Tasas!D11-Datos!BF11)/Datos!BF11," - ")</f>
        <v>0.71835194983343131</v>
      </c>
      <c r="K11" s="361">
        <f>IF(ISNUMBER((Tasas!E11-Datos!BG11)/Datos!BG11),(Tasas!E11-Datos!BG11)/Datos!BG11," - ")</f>
        <v>0.62943667996392072</v>
      </c>
      <c r="M11" t="e">
        <f>IF(Monitorios="SI",Datos!CE11,0)</f>
        <v>#REF!</v>
      </c>
      <c r="N11" t="e">
        <f>IF(Monitorios="SI",Datos!CF11,0)</f>
        <v>#REF!</v>
      </c>
      <c r="O11" t="e">
        <f>IF(Monitorios="SI",Datos!CG11,0)</f>
        <v>#REF!</v>
      </c>
      <c r="P11" t="e">
        <f>IF(Monitorios="SI",Datos!CH11,0)</f>
        <v>#REF!</v>
      </c>
      <c r="Q11">
        <f>IF(J_V="SI",0,Datos!AG11)</f>
        <v>22</v>
      </c>
      <c r="R11">
        <f>IF(J_V="SI",0,Datos!AH11)</f>
        <v>33</v>
      </c>
      <c r="S11">
        <f>IF(J_V="SI",0,Datos!AI11)</f>
        <v>38</v>
      </c>
      <c r="T11">
        <f>IF(J_V="SI",0,Datos!AJ11)</f>
        <v>17</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-2.6334519572953737E-2</v>
      </c>
      <c r="I14" s="367">
        <f>IF(ISNUMBER((Tasas!C14-Datos!BE14)/Datos!BE14),(Tasas!C14-Datos!BE14)/Datos!BE14," - ")</f>
        <v>0.4487289345901172</v>
      </c>
      <c r="J14" s="365">
        <f>IF(ISNUMBER((Tasas!D14-Datos!BF14)/Datos!BF14),(Tasas!D14-Datos!BF14)/Datos!BF14," - ")</f>
        <v>3.6363636363636397E-2</v>
      </c>
      <c r="K14" s="368">
        <f>IF(ISNUMBER((Tasas!E14-Datos!BG14)/Datos!BG14),(Tasas!E14-Datos!BG14)/Datos!BG14," - ")</f>
        <v>0.23014558517678202</v>
      </c>
      <c r="M14" t="e">
        <f>IF(Monitorios="SI",Datos!CE14,0)</f>
        <v>#REF!</v>
      </c>
      <c r="N14" t="e">
        <f>IF(Monitorios="SI",Datos!CF14,0)</f>
        <v>#REF!</v>
      </c>
      <c r="O14" t="e">
        <f>IF(Monitorios="SI",Datos!CG14,0)</f>
        <v>#REF!</v>
      </c>
      <c r="P14" t="e">
        <f>IF(Monitorios="SI",Datos!CH14,0)</f>
        <v>#REF!</v>
      </c>
      <c r="Q14">
        <f>IF(J_V="SI",0,Datos!AG14)</f>
        <v>253</v>
      </c>
      <c r="R14">
        <f>IF(J_V="SI",0,Datos!AH14)</f>
        <v>386</v>
      </c>
      <c r="S14">
        <f>IF(J_V="SI",0,Datos!AI14)</f>
        <v>419</v>
      </c>
      <c r="T14">
        <f>IF(J_V="SI",0,Datos!AJ14)</f>
        <v>220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0.35343834037648869</v>
      </c>
      <c r="E16" s="358">
        <f>IF(ISNUMBER(
   IF(D_I="SI",(Datos!J16-Datos!T16)/Datos!T16,(Datos!J16+Datos!AD16-(Datos!T16+Datos!AL16))/(Datos!T16+Datos!AL16))
     ),IF(D_I="SI",(Datos!J16-Datos!T16)/Datos!T16,(Datos!J16+Datos!AD16-(Datos!T16+Datos!AL16))/(Datos!T16+Datos!AL16))," - ")</f>
        <v>0.33218311479181045</v>
      </c>
      <c r="F16" s="358">
        <f>IF(ISNUMBER(
   IF(D_I="SI",(Datos!K16-Datos!U16)/Datos!U16,(Datos!K16+Datos!AE16-(Datos!U16+Datos!AM16))/(Datos!U16+Datos!AM16))
     ),IF(D_I="SI",(Datos!K16-Datos!U16)/Datos!U16,(Datos!K16+Datos!AE16-(Datos!U16+Datos!AM16))/(Datos!U16+Datos!AM16))," - ")</f>
        <v>6.0289731572219854E-2</v>
      </c>
      <c r="G16" s="359">
        <f>IF(ISNUMBER(
   IF(D_I="SI",(Datos!L16-Datos!V16)/Datos!V16,(Datos!L16+Datos!AF16-(Datos!V16+Datos!AN16))/(Datos!V16+Datos!AN16))
     ),IF(D_I="SI",(Datos!L16-Datos!V16)/Datos!V16,(Datos!L16+Datos!AF16-(Datos!V16+Datos!AN16))/(Datos!V16+Datos!AN16))," - ")</f>
        <v>0.91717791411042948</v>
      </c>
      <c r="H16" s="235">
        <f>IF(ISNUMBER((Datos!M16-Datos!W16)/Datos!W16),(Datos!M16-Datos!W16)/Datos!W16," - ")</f>
        <v>-0.38899082568807342</v>
      </c>
      <c r="I16" s="360">
        <f>IF(ISNUMBER((Tasas!C16-Datos!BE16)/Datos!BE16),(Tasas!C16-Datos!BE16)/Datos!BE16," - ")</f>
        <v>0.80816418099946863</v>
      </c>
      <c r="J16" s="359">
        <f>IF(ISNUMBER((Tasas!D16-Datos!BF16)/Datos!BF16),(Tasas!D16-Datos!BF16)/Datos!BF16," - ")</f>
        <v>-0.42373376246329442</v>
      </c>
      <c r="K16" s="361">
        <f>IF(ISNUMBER((Tasas!E16-Datos!BG16)/Datos!BG16),(Tasas!E16-Datos!BG16)/Datos!BG16," - ")</f>
        <v>0.26394120869669557</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-3.1042128603104215E-2</v>
      </c>
      <c r="E18" s="358">
        <f>IF(ISNUMBER(
   IF(D_I="SI",(Datos!J18-Datos!T18)/Datos!T18,(Datos!J18+Datos!AD18-(Datos!T18+Datos!AL18))/(Datos!T18+Datos!AL18))
     ),IF(D_I="SI",(Datos!J18-Datos!T18)/Datos!T18,(Datos!J18+Datos!AD18-(Datos!T18+Datos!AL18))/(Datos!T18+Datos!AL18))," - ")</f>
        <v>0.77878787878787881</v>
      </c>
      <c r="F18" s="358">
        <f>IF(ISNUMBER(
   IF(D_I="SI",(Datos!K18-Datos!U18)/Datos!U18,(Datos!K18+Datos!AE18-(Datos!U18+Datos!AM18))/(Datos!U18+Datos!AM18))
     ),IF(D_I="SI",(Datos!K18-Datos!U18)/Datos!U18,(Datos!K18+Datos!AE18-(Datos!U18+Datos!AM18))/(Datos!U18+Datos!AM18))," - ")</f>
        <v>1.0893470790378006</v>
      </c>
      <c r="G18" s="359">
        <f>IF(ISNUMBER(
   IF(D_I="SI",(Datos!L18-Datos!V18)/Datos!V18,(Datos!L18+Datos!AF18-(Datos!V18+Datos!AN18))/(Datos!V18+Datos!AN18))
     ),IF(D_I="SI",(Datos!L18-Datos!V18)/Datos!V18,(Datos!L18+Datos!AF18-(Datos!V18+Datos!AN18))/(Datos!V18+Datos!AN18))," - ")</f>
        <v>0.60617760617760619</v>
      </c>
      <c r="H18" s="235">
        <f>IF(ISNUMBER((Datos!M18-Datos!W18)/Datos!W18),(Datos!M18-Datos!W18)/Datos!W18," - ")</f>
        <v>-0.203125</v>
      </c>
      <c r="I18" s="360">
        <f>IF(ISNUMBER((Tasas!C18-Datos!BE18)/Datos!BE18),(Tasas!C18-Datos!BE18)/Datos!BE18," - ")</f>
        <v>-0.23125381020117855</v>
      </c>
      <c r="J18" s="359">
        <f>IF(ISNUMBER((Tasas!D18-Datos!BF18)/Datos!BF18),(Tasas!D18-Datos!BF18)/Datos!BF18," - ")</f>
        <v>-0.61860094572368418</v>
      </c>
      <c r="K18" s="361">
        <f>IF(ISNUMBER((Tasas!E18-Datos!BG18)/Datos!BG18),(Tasas!E18-Datos!BG18)/Datos!BG18," - ")</f>
        <v>-0.37246445178246512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0.29666011787819252</v>
      </c>
      <c r="E20" s="364">
        <f>IF(ISNUMBER(
   IF(D_I="SI",(Datos!J20-Datos!T20)/Datos!T20,(Datos!J20+Datos!AD20-(Datos!T20+Datos!AL20))/(Datos!T20+Datos!AL20))
     ),IF(D_I="SI",(Datos!J20-Datos!T20)/Datos!T20,(Datos!J20+Datos!AD20-(Datos!T20+Datos!AL20))/(Datos!T20+Datos!AL20))," - ")</f>
        <v>0.3636946760744067</v>
      </c>
      <c r="F20" s="364">
        <f>IF(ISNUMBER(
   IF(D_I="SI",(Datos!K20-Datos!U20)/Datos!U20,(Datos!K20+Datos!AE20-(Datos!U20+Datos!AM20))/(Datos!U20+Datos!AM20))
     ),IF(D_I="SI",(Datos!K20-Datos!U20)/Datos!U20,(Datos!K20+Datos!AE20-(Datos!U20+Datos!AM20))/(Datos!U20+Datos!AM20))," - ")</f>
        <v>0.12036108324974924</v>
      </c>
      <c r="G20" s="365">
        <f>IF(ISNUMBER(
   IF(D_I="SI",(Datos!L20-Datos!V20)/Datos!V20,(Datos!L20+Datos!AF20-(Datos!V20+Datos!AN20))/(Datos!V20+Datos!AN20))
     ),IF(D_I="SI",(Datos!L20-Datos!V20)/Datos!V20,(Datos!L20+Datos!AF20-(Datos!V20+Datos!AN20))/(Datos!V20+Datos!AN20))," - ")</f>
        <v>0.88547815820543097</v>
      </c>
      <c r="H20" s="366">
        <f>IF(ISNUMBER((Datos!M20-Datos!W20)/Datos!W20),(Datos!M20-Datos!W20)/Datos!W20," - ")</f>
        <v>-0.36945812807881773</v>
      </c>
      <c r="I20" s="367">
        <f>IF(ISNUMBER((Tasas!C20-Datos!BE20)/Datos!BE20),(Tasas!C20-Datos!BE20)/Datos!BE20," - ")</f>
        <v>0.68292007496044305</v>
      </c>
      <c r="J20" s="365">
        <f>IF(ISNUMBER((Tasas!D20-Datos!BF20)/Datos!BF20),(Tasas!D20-Datos!BF20)/Datos!BF20," - ")</f>
        <v>-0.43719763088145147</v>
      </c>
      <c r="K20" s="368">
        <f>IF(ISNUMBER((Tasas!E20-Datos!BG20)/Datos!BG20),(Tasas!E20-Datos!BG20)/Datos!BG20," - ")</f>
        <v>0.19355610838805792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0.26198695818948986</v>
      </c>
      <c r="E21" s="373">
        <f>IF(ISNUMBER(
   IF(J_V="SI",(Datos!J21-Datos!T21)/Datos!T21,(Datos!J21+Datos!Z21-(Datos!T21+Datos!AH21))/(Datos!T21+Datos!AH21))
     ),IF(J_V="SI",(Datos!J21-Datos!T21)/Datos!T21,(Datos!J21+Datos!Z21-(Datos!T21+Datos!AH21))/(Datos!T21+Datos!AH21))," - ")</f>
        <v>0.21879656160458452</v>
      </c>
      <c r="F21" s="373">
        <f>IF(ISNUMBER(
   IF(J_V="SI",(Datos!K21-Datos!U21)/Datos!U21,(Datos!K21+Datos!AA21-(Datos!U21+Datos!AI21))/(Datos!U21+Datos!AI21))
     ),IF(J_V="SI",(Datos!K21-Datos!U21)/Datos!U21,(Datos!K21+Datos!AA21-(Datos!U21+Datos!AI21))/(Datos!U21+Datos!AI21))," - ")</f>
        <v>3.7881290606761368E-2</v>
      </c>
      <c r="G21" s="374">
        <f>IF(ISNUMBER(
   IF(J_V="SI",(Datos!L21-Datos!V21)/Datos!V21,(Datos!L21+Datos!AB21-(Datos!V21+Datos!AJ21))/(Datos!V21+Datos!AJ21))
     ),IF(J_V="SI",(Datos!L21-Datos!V21)/Datos!V21,(Datos!L21+Datos!AB21-(Datos!V21+Datos!AJ21))/(Datos!V21+Datos!AJ21))," - ")</f>
        <v>0.54404216951033435</v>
      </c>
      <c r="H21" s="375">
        <f>IF(ISNUMBER((Datos!M21-Datos!W21)/Datos!W21),(Datos!M21-Datos!W21)/Datos!W21," - ")</f>
        <v>-0.13008937437934459</v>
      </c>
      <c r="I21" s="372">
        <f>IF(ISNUMBER((Tasas!C21-Datos!BE21)/Datos!BE21),(Tasas!C21-Datos!BE21)/Datos!BE21," - ")</f>
        <v>0.4876866781244929</v>
      </c>
      <c r="J21" s="373">
        <f>IF(ISNUMBER((Tasas!D21-Datos!BF21)/Datos!BF21),(Tasas!D21-Datos!BF21)/Datos!BF21," - ")</f>
        <v>-0.16308660207861814</v>
      </c>
      <c r="K21" s="374">
        <f>IF(ISNUMBER((Tasas!E21-Datos!BG21)/Datos!BG21),(Tasas!E21-Datos!BG21)/Datos!BG21," - ")</f>
        <v>0.19398230349534343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0.21015826560228523</v>
      </c>
      <c r="E23" s="283">
        <f t="shared" si="1"/>
        <v>0.27555419903123957</v>
      </c>
      <c r="F23" s="283">
        <f t="shared" si="1"/>
        <v>0.58026093661426392</v>
      </c>
      <c r="G23" s="284">
        <f t="shared" si="1"/>
        <v>0.33577588052123436</v>
      </c>
      <c r="H23" s="290">
        <f t="shared" si="1"/>
        <v>0.22112672278824427</v>
      </c>
      <c r="I23" s="282">
        <f t="shared" si="1"/>
        <v>0.45901122701245045</v>
      </c>
      <c r="J23" s="283">
        <f t="shared" si="1"/>
        <v>0.48972327579865244</v>
      </c>
      <c r="K23" s="284">
        <f t="shared" si="1"/>
        <v>0.30030537509004573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GBIgxCLgZw42elx3X4MFIgCOS3G6z8wmtEJ1wIYBN9J3Ggf1MEFZoQoLbaNvgO4pa5Gx0Eto22pSwV3QPrrAg==" saltValue="4QyB4akEt9mrFI5HUGNm0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